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usta siit" sheetId="1" state="visible" r:id="rId1"/>
    <sheet xmlns:r="http://schemas.openxmlformats.org/officeDocument/2006/relationships" name="Ülevaade" sheetId="2" state="visible" r:id="rId2"/>
    <sheet xmlns:r="http://schemas.openxmlformats.org/officeDocument/2006/relationships" name="Eelarve" sheetId="3" state="visible" r:id="rId3"/>
    <sheet xmlns:r="http://schemas.openxmlformats.org/officeDocument/2006/relationships" name="Tehingud" sheetId="4" state="visible" r:id="rId4"/>
    <sheet xmlns:r="http://schemas.openxmlformats.org/officeDocument/2006/relationships" name="Säästueesmärgid" sheetId="5" state="visible" r:id="rId5"/>
    <sheet xmlns:r="http://schemas.openxmlformats.org/officeDocument/2006/relationships" name="Laenud" sheetId="6" state="visible" r:id="rId6"/>
    <sheet xmlns:r="http://schemas.openxmlformats.org/officeDocument/2006/relationships" name="Aasta" sheetId="7" state="visible" r:id="rId7"/>
    <sheet xmlns:r="http://schemas.openxmlformats.org/officeDocument/2006/relationships" name="Seaded" sheetId="8" state="hidden" r:id="rId8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#,##0.00 &quot;€&quot;;-#,##0.00 &quot;€&quot;;&quot;–&quot;"/>
    <numFmt numFmtId="165" formatCode="dd.mm.yyyy"/>
    <numFmt numFmtId="166" formatCode="#,##0 &quot;€&quot;;-#,##0 &quot;€&quot;;&quot;0 €&quot;"/>
    <numFmt numFmtId="167" formatCode="&quot;plaan &quot; #,##0 &quot;€&quot;"/>
    <numFmt numFmtId="168" formatCode="mm.yyyy"/>
    <numFmt numFmtId="169" formatCode="yyyy-mm-dd"/>
    <numFmt numFmtId="170" formatCode="0.0%"/>
    <numFmt numFmtId="171" formatCode="#,##0;-#,##0;&quot;·&quot;"/>
  </numFmts>
  <fonts count="25">
    <font>
      <name val="Calibri"/>
      <family val="2"/>
      <color theme="1"/>
      <sz val="11"/>
      <scheme val="minor"/>
    </font>
    <font>
      <name val="Montserrat"/>
      <b val="1"/>
      <color rgb="00FFFFFF"/>
      <sz val="15"/>
    </font>
    <font>
      <name val="Montserrat"/>
      <color rgb="002FB344"/>
      <sz val="9"/>
    </font>
    <font>
      <name val="Montserrat"/>
      <i val="1"/>
      <color rgb="006B7385"/>
      <sz val="9"/>
    </font>
    <font>
      <name val="Montserrat"/>
      <b val="1"/>
      <color rgb="001F7A2E"/>
      <sz val="10"/>
    </font>
    <font>
      <name val="Montserrat"/>
      <b val="1"/>
      <color rgb="006B7385"/>
      <sz val="9"/>
    </font>
    <font>
      <name val="Montserrat"/>
      <color rgb="001A2234"/>
      <sz val="10"/>
    </font>
    <font>
      <name val="Montserrat"/>
      <color rgb="006B7385"/>
      <sz val="9"/>
    </font>
    <font>
      <name val="Montserrat"/>
      <b val="1"/>
      <color rgb="001A2234"/>
      <sz val="10"/>
    </font>
    <font>
      <name val="Montserrat"/>
      <b val="1"/>
      <color rgb="001A2234"/>
      <sz val="11"/>
    </font>
    <font>
      <name val="Montserrat"/>
      <b val="1"/>
      <color rgb="006B7385"/>
      <sz val="8"/>
    </font>
    <font>
      <name val="Montserrat"/>
      <b val="1"/>
      <color rgb="001A2234"/>
      <sz val="18"/>
    </font>
    <font>
      <name val="Montserrat"/>
      <color rgb="006B7385"/>
      <sz val="8"/>
    </font>
    <font>
      <name val="Montserrat"/>
      <b val="1"/>
      <color rgb="002FB344"/>
      <sz val="8"/>
    </font>
    <font>
      <name val="Montserrat"/>
      <b val="1"/>
      <color rgb="00FFFFFF"/>
      <sz val="18"/>
    </font>
    <font>
      <name val="Montserrat"/>
      <color rgb="00C1C6D2"/>
      <sz val="8"/>
    </font>
    <font>
      <name val="Montserrat"/>
      <color rgb="002FB344"/>
      <sz val="10"/>
    </font>
    <font>
      <name val="Montserrat"/>
      <i val="1"/>
      <color rgb="006B7385"/>
      <sz val="8"/>
    </font>
    <font>
      <name val="Montserrat"/>
      <color rgb="006B7385"/>
      <sz val="10"/>
    </font>
    <font>
      <name val="Montserrat"/>
      <color rgb="001A2234"/>
      <sz val="9"/>
    </font>
    <font>
      <name val="Montserrat"/>
      <b val="1"/>
      <color rgb="001A2234"/>
      <sz val="9"/>
    </font>
    <font>
      <name val="Montserrat"/>
      <b val="1"/>
      <color rgb="001A2234"/>
      <sz val="12"/>
    </font>
    <font>
      <name val="Montserrat"/>
      <b val="1"/>
      <color rgb="00FFFFFF"/>
      <sz val="14"/>
    </font>
    <font>
      <name val="Montserrat"/>
      <b val="1"/>
      <color rgb="00FFFFFF"/>
      <sz val="12"/>
    </font>
    <font>
      <name val="Montserrat"/>
      <color rgb="00C1C6D2"/>
      <sz val="10"/>
    </font>
  </fonts>
  <fills count="8">
    <fill>
      <patternFill/>
    </fill>
    <fill>
      <patternFill patternType="gray125"/>
    </fill>
    <fill>
      <patternFill patternType="solid">
        <fgColor rgb="001A2234"/>
        <bgColor rgb="001A2234"/>
      </patternFill>
    </fill>
    <fill>
      <patternFill patternType="solid">
        <fgColor rgb="00E8F6EB"/>
        <bgColor rgb="00E8F6EB"/>
      </patternFill>
    </fill>
    <fill>
      <patternFill patternType="solid">
        <fgColor rgb="00EEF4FF"/>
        <bgColor rgb="00EEF4FF"/>
      </patternFill>
    </fill>
    <fill>
      <patternFill patternType="solid">
        <fgColor rgb="00F5F7FA"/>
        <bgColor rgb="00F5F7FA"/>
      </patternFill>
    </fill>
    <fill>
      <patternFill patternType="solid">
        <fgColor rgb="00FFFFFF"/>
        <bgColor rgb="00FFFFFF"/>
      </patternFill>
    </fill>
    <fill>
      <patternFill patternType="solid">
        <fgColor rgb="002FB344"/>
        <bgColor rgb="002FB344"/>
      </patternFill>
    </fill>
  </fills>
  <borders count="3">
    <border>
      <left/>
      <right/>
      <top/>
      <bottom/>
      <diagonal/>
    </border>
    <border>
      <bottom style="thin">
        <color rgb="00E3E8EF"/>
      </bottom>
    </border>
    <border>
      <bottom style="thin">
        <color rgb="00C9D6EE"/>
      </bottom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21" fillId="0" borderId="0" pivotButton="0" quotePrefix="0" xfId="0"/>
    <xf numFmtId="0" fontId="22" fillId="7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center" indent="1"/>
    </xf>
    <xf numFmtId="0" fontId="18" fillId="0" borderId="0" applyAlignment="1" pivotButton="0" quotePrefix="0" xfId="0">
      <alignment horizontal="left" vertical="top" wrapText="1" indent="1"/>
    </xf>
    <xf numFmtId="0" fontId="19" fillId="0" borderId="0" applyAlignment="1" pivotButton="0" quotePrefix="0" xfId="0">
      <alignment horizontal="left" vertical="top" wrapText="1" indent="1"/>
    </xf>
    <xf numFmtId="0" fontId="23" fillId="2" borderId="0" applyAlignment="1" pivotButton="0" quotePrefix="0" xfId="0">
      <alignment horizontal="left" vertical="center" indent="1"/>
    </xf>
    <xf numFmtId="0" fontId="24" fillId="2" borderId="0" applyAlignment="1" pivotButton="0" quotePrefix="0" xfId="0">
      <alignment horizontal="left" vertical="top" wrapText="1" indent="1"/>
    </xf>
    <xf numFmtId="0" fontId="9" fillId="7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 indent="1"/>
    </xf>
    <xf numFmtId="0" fontId="9" fillId="4" borderId="2" applyAlignment="1" pivotButton="0" quotePrefix="0" xfId="0">
      <alignment horizontal="center" vertical="center"/>
    </xf>
    <xf numFmtId="1" fontId="9" fillId="4" borderId="2" applyAlignment="1" pivotButton="0" quotePrefix="0" xfId="0">
      <alignment horizontal="center" vertical="center"/>
    </xf>
    <xf numFmtId="0" fontId="3" fillId="0" borderId="0" pivotButton="0" quotePrefix="0" xfId="0"/>
    <xf numFmtId="165" fontId="0" fillId="0" borderId="0" pivotButton="0" quotePrefix="0" xfId="0"/>
    <xf numFmtId="0" fontId="0" fillId="5" borderId="0" pivotButton="0" quotePrefix="0" xfId="0"/>
    <xf numFmtId="0" fontId="10" fillId="5" borderId="0" applyAlignment="1" pivotButton="0" quotePrefix="0" xfId="0">
      <alignment horizontal="left" vertical="center" indent="1"/>
    </xf>
    <xf numFmtId="0" fontId="13" fillId="2" borderId="0" applyAlignment="1" pivotButton="0" quotePrefix="0" xfId="0">
      <alignment horizontal="left" vertical="center" indent="1"/>
    </xf>
    <xf numFmtId="166" fontId="11" fillId="5" borderId="0" applyAlignment="1" pivotButton="0" quotePrefix="0" xfId="0">
      <alignment horizontal="left" vertical="center" indent="1"/>
    </xf>
    <xf numFmtId="166" fontId="14" fillId="2" borderId="0" applyAlignment="1" pivotButton="0" quotePrefix="0" xfId="0">
      <alignment horizontal="left" vertical="center" indent="1"/>
    </xf>
    <xf numFmtId="167" fontId="12" fillId="5" borderId="0" applyAlignment="1" pivotButton="0" quotePrefix="0" xfId="0">
      <alignment horizontal="left" vertical="center" indent="1"/>
    </xf>
    <xf numFmtId="167" fontId="15" fillId="2" borderId="0" applyAlignment="1" pivotButton="0" quotePrefix="0" xfId="0">
      <alignment horizontal="left" vertical="center" indent="1"/>
    </xf>
    <xf numFmtId="9" fontId="9" fillId="0" borderId="1" applyAlignment="1" pivotButton="0" quotePrefix="0" xfId="0">
      <alignment horizontal="right" vertical="center" indent="1"/>
    </xf>
    <xf numFmtId="0" fontId="16" fillId="0" borderId="0" applyAlignment="1" pivotButton="0" quotePrefix="0" xfId="0">
      <alignment horizontal="left" vertical="center" indent="1"/>
    </xf>
    <xf numFmtId="0" fontId="17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5" fillId="0" borderId="1" applyAlignment="1" pivotButton="0" quotePrefix="0" xfId="0">
      <alignment horizontal="left" vertical="center" indent="1"/>
    </xf>
    <xf numFmtId="0" fontId="5" fillId="0" borderId="1" applyAlignment="1" pivotButton="0" quotePrefix="0" xfId="0">
      <alignment horizontal="right" vertical="center" indent="1"/>
    </xf>
    <xf numFmtId="0" fontId="6" fillId="0" borderId="1" applyAlignment="1" pivotButton="0" quotePrefix="0" xfId="0">
      <alignment horizontal="left" vertical="center" indent="1"/>
    </xf>
    <xf numFmtId="164" fontId="6" fillId="0" borderId="1" applyAlignment="1" pivotButton="0" quotePrefix="0" xfId="0">
      <alignment horizontal="right" vertical="center" indent="1"/>
    </xf>
    <xf numFmtId="9" fontId="6" fillId="0" borderId="1" applyAlignment="1" pivotButton="0" quotePrefix="0" xfId="0">
      <alignment horizontal="right" vertical="center" indent="1"/>
    </xf>
    <xf numFmtId="0" fontId="2" fillId="0" borderId="1" applyAlignment="1" pivotButton="0" quotePrefix="0" xfId="0">
      <alignment horizontal="left" vertical="center" indent="1"/>
    </xf>
    <xf numFmtId="0" fontId="8" fillId="0" borderId="1" applyAlignment="1" pivotButton="0" quotePrefix="0" xfId="0">
      <alignment horizontal="left" vertical="center" indent="1"/>
    </xf>
    <xf numFmtId="164" fontId="8" fillId="0" borderId="1" applyAlignment="1" pivotButton="0" quotePrefix="0" xfId="0">
      <alignment horizontal="right" vertical="center" indent="1"/>
    </xf>
    <xf numFmtId="9" fontId="8" fillId="0" borderId="1" applyAlignment="1" pivotButton="0" quotePrefix="0" xfId="0">
      <alignment horizontal="right" vertical="center" indent="1"/>
    </xf>
    <xf numFmtId="0" fontId="17" fillId="0" borderId="0" pivotButton="0" quotePrefix="0" xfId="0"/>
    <xf numFmtId="0" fontId="5" fillId="0" borderId="1" applyAlignment="1" pivotButton="0" quotePrefix="0" xfId="0">
      <alignment horizontal="center" vertical="center"/>
    </xf>
    <xf numFmtId="0" fontId="6" fillId="4" borderId="2" applyAlignment="1" pivotButton="0" quotePrefix="0" xfId="0">
      <alignment horizontal="left" vertical="center" indent="1"/>
    </xf>
    <xf numFmtId="164" fontId="6" fillId="4" borderId="2" applyAlignment="1" pivotButton="0" quotePrefix="0" xfId="0">
      <alignment horizontal="right" vertical="center" indent="1"/>
    </xf>
    <xf numFmtId="1" fontId="6" fillId="4" borderId="2" applyAlignment="1" pivotButton="0" quotePrefix="0" xfId="0">
      <alignment horizontal="center" vertical="center"/>
    </xf>
    <xf numFmtId="0" fontId="7" fillId="4" borderId="2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164" fontId="9" fillId="5" borderId="1" applyAlignment="1" pivotButton="0" quotePrefix="0" xfId="0">
      <alignment horizontal="right" vertical="center" indent="1"/>
    </xf>
    <xf numFmtId="0" fontId="3" fillId="5" borderId="0" pivotButton="0" quotePrefix="0" xfId="0"/>
    <xf numFmtId="165" fontId="6" fillId="4" borderId="2" applyAlignment="1" pivotButton="0" quotePrefix="0" xfId="0">
      <alignment horizontal="center" vertical="center"/>
    </xf>
    <xf numFmtId="0" fontId="3" fillId="6" borderId="0" pivotButton="0" quotePrefix="0" xfId="0"/>
    <xf numFmtId="0" fontId="0" fillId="6" borderId="0" pivotButton="0" quotePrefix="0" xfId="0"/>
    <xf numFmtId="0" fontId="5" fillId="6" borderId="1" applyAlignment="1" pivotButton="0" quotePrefix="0" xfId="0">
      <alignment horizontal="left" vertical="center" indent="1"/>
    </xf>
    <xf numFmtId="0" fontId="5" fillId="6" borderId="1" applyAlignment="1" pivotButton="0" quotePrefix="0" xfId="0">
      <alignment horizontal="right" vertical="center" indent="1"/>
    </xf>
    <xf numFmtId="166" fontId="6" fillId="4" borderId="2" applyAlignment="1" pivotButton="0" quotePrefix="0" xfId="0">
      <alignment horizontal="right" vertical="center" indent="1"/>
    </xf>
    <xf numFmtId="168" fontId="6" fillId="4" borderId="2" applyAlignment="1" pivotButton="0" quotePrefix="0" xfId="0">
      <alignment horizontal="center" vertical="center"/>
    </xf>
    <xf numFmtId="166" fontId="8" fillId="0" borderId="1" applyAlignment="1" pivotButton="0" quotePrefix="0" xfId="0">
      <alignment horizontal="right" vertical="center" indent="1"/>
    </xf>
    <xf numFmtId="170" fontId="6" fillId="4" borderId="2" applyAlignment="1" pivotButton="0" quotePrefix="0" xfId="0">
      <alignment horizontal="right" vertical="center" indent="1"/>
    </xf>
    <xf numFmtId="1" fontId="6" fillId="0" borderId="1" applyAlignment="1" pivotButton="0" quotePrefix="0" xfId="0">
      <alignment horizontal="center" vertical="center"/>
    </xf>
    <xf numFmtId="168" fontId="6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horizontal="right" vertical="center" indent="1"/>
    </xf>
    <xf numFmtId="0" fontId="17" fillId="0" borderId="0" applyAlignment="1" pivotButton="0" quotePrefix="0" xfId="0">
      <alignment horizontal="left" vertical="top" wrapText="1" indent="1"/>
    </xf>
    <xf numFmtId="0" fontId="18" fillId="0" borderId="1" applyAlignment="1" pivotButton="0" quotePrefix="0" xfId="0">
      <alignment horizontal="left" vertical="center" indent="1"/>
    </xf>
    <xf numFmtId="166" fontId="18" fillId="0" borderId="1" applyAlignment="1" pivotButton="0" quotePrefix="0" xfId="0">
      <alignment horizontal="right" vertical="center" indent="1"/>
    </xf>
    <xf numFmtId="0" fontId="19" fillId="0" borderId="1" applyAlignment="1" pivotButton="0" quotePrefix="0" xfId="0">
      <alignment horizontal="left" vertical="center" indent="1"/>
    </xf>
    <xf numFmtId="171" fontId="19" fillId="0" borderId="1" applyAlignment="1" pivotButton="0" quotePrefix="0" xfId="0">
      <alignment horizontal="right" vertical="center" indent="1"/>
    </xf>
    <xf numFmtId="166" fontId="20" fillId="0" borderId="1" applyAlignment="1" pivotButton="0" quotePrefix="0" xfId="0">
      <alignment horizontal="right" vertical="center" indent="1"/>
    </xf>
    <xf numFmtId="166" fontId="19" fillId="0" borderId="1" applyAlignment="1" pivotButton="0" quotePrefix="0" xfId="0">
      <alignment horizontal="right" vertical="center" indent="1"/>
    </xf>
    <xf numFmtId="9" fontId="19" fillId="0" borderId="1" applyAlignment="1" pivotButton="0" quotePrefix="0" xfId="0">
      <alignment horizontal="right" vertical="center" indent="1"/>
    </xf>
  </cellXfs>
  <cellStyles count="1">
    <cellStyle name="Normal" xfId="0" builtinId="0" hidden="0"/>
  </cellStyles>
  <dxfs count="3">
    <dxf>
      <font>
        <b val="1"/>
        <color rgb="00D93F3F"/>
      </font>
    </dxf>
    <dxf>
      <font>
        <color rgb="00D93F3F"/>
      </font>
    </dxf>
    <dxf>
      <font>
        <color rgb="00E39B1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Kuhu raha läks</a:t>
            </a:r>
          </a:p>
        </rich>
      </tx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A2234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FB344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4A5677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7FD08C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8D96AD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1F7A2E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1C6D2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B9E6C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2E3A57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5BBF6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A9B0C2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1"/>
            <spPr>
              <a:solidFill xmlns:a="http://schemas.openxmlformats.org/drawingml/2006/main">
                <a:srgbClr val="3E9B4C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2"/>
            <spPr>
              <a:solidFill xmlns:a="http://schemas.openxmlformats.org/drawingml/2006/main">
                <a:srgbClr val="D7DBE4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3"/>
            <spPr>
              <a:solidFill xmlns:a="http://schemas.openxmlformats.org/drawingml/2006/main">
                <a:srgbClr val="9ED9A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4"/>
            <spPr>
              <a:solidFill xmlns:a="http://schemas.openxmlformats.org/drawingml/2006/main">
                <a:srgbClr val="6B738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5"/>
            <spPr>
              <a:solidFill xmlns:a="http://schemas.openxmlformats.org/drawingml/2006/main">
                <a:srgbClr val="E39B17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6"/>
            <spPr>
              <a:solidFill xmlns:a="http://schemas.openxmlformats.org/drawingml/2006/main">
                <a:srgbClr val="C9D6EE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7"/>
            <spPr>
              <a:solidFill xmlns:a="http://schemas.openxmlformats.org/drawingml/2006/main">
                <a:srgbClr val="145524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8"/>
            <spPr>
              <a:solidFill xmlns:a="http://schemas.openxmlformats.org/drawingml/2006/main">
                <a:srgbClr val="F5F7F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9"/>
            <spPr>
              <a:solidFill xmlns:a="http://schemas.openxmlformats.org/drawingml/2006/main">
                <a:srgbClr val="D93F3F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'Ülevaade'!$B$20:$B$39</f>
            </numRef>
          </cat>
          <val>
            <numRef>
              <f>'Ülevaade'!$D$20:$D$39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Plaan vs tegelik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'Ülevaade'!C19</f>
            </strRef>
          </tx>
          <spPr>
            <a:solidFill xmlns:a="http://schemas.openxmlformats.org/drawingml/2006/main">
              <a:srgbClr val="C1C6D2"/>
            </a:solidFill>
            <a:ln xmlns:a="http://schemas.openxmlformats.org/drawingml/2006/main">
              <a:noFill/>
              <a:prstDash val="solid"/>
            </a:ln>
          </spPr>
          <cat>
            <numRef>
              <f>'Ülevaade'!$B$20:$B$39</f>
            </numRef>
          </cat>
          <val>
            <numRef>
              <f>'Ülevaade'!$C$20:$C$39</f>
            </numRef>
          </val>
        </ser>
        <ser>
          <idx val="1"/>
          <order val="1"/>
          <tx>
            <strRef>
              <f>'Ülevaade'!D19</f>
            </strRef>
          </tx>
          <spPr>
            <a:solidFill xmlns:a="http://schemas.openxmlformats.org/drawingml/2006/main">
              <a:srgbClr val="2FB344"/>
            </a:solidFill>
            <a:ln xmlns:a="http://schemas.openxmlformats.org/drawingml/2006/main">
              <a:noFill/>
              <a:prstDash val="solid"/>
            </a:ln>
          </spPr>
          <cat>
            <numRef>
              <f>'Ülevaade'!$B$20:$B$39</f>
            </numRef>
          </cat>
          <val>
            <numRef>
              <f>'Ülevaade'!$D$20:$D$39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Tulud ja kulud kuude kaupa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'Aasta'!C9</f>
            </strRef>
          </tx>
          <spPr>
            <a:solidFill xmlns:a="http://schemas.openxmlformats.org/drawingml/2006/main">
              <a:srgbClr val="2FB344"/>
            </a:solidFill>
            <a:ln xmlns:a="http://schemas.openxmlformats.org/drawingml/2006/main">
              <a:noFill/>
              <a:prstDash val="solid"/>
            </a:ln>
          </spPr>
          <cat>
            <numRef>
              <f>'Aasta'!$B$10:$B$21</f>
            </numRef>
          </cat>
          <val>
            <numRef>
              <f>'Aasta'!$C$10:$C$21</f>
            </numRef>
          </val>
        </ser>
        <ser>
          <idx val="1"/>
          <order val="1"/>
          <tx>
            <strRef>
              <f>'Aasta'!D9</f>
            </strRef>
          </tx>
          <spPr>
            <a:solidFill xmlns:a="http://schemas.openxmlformats.org/drawingml/2006/main">
              <a:srgbClr val="1A2234"/>
            </a:solidFill>
            <a:ln xmlns:a="http://schemas.openxmlformats.org/drawingml/2006/main">
              <a:noFill/>
              <a:prstDash val="solid"/>
            </a:ln>
          </spPr>
          <cat>
            <numRef>
              <f>'Aasta'!$B$10:$B$21</f>
            </numRef>
          </cat>
          <val>
            <numRef>
              <f>'Aasta'!$D$10:$D$21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2.png" Id="rId3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chart" Target="/xl/charts/chart3.xml" Id="rId1"/><Relationship Type="http://schemas.openxmlformats.org/officeDocument/2006/relationships/image" Target="/xl/media/image7.png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3239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55</row>
      <rowOff>0</rowOff>
    </from>
    <ext cx="54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75</row>
      <rowOff>0</rowOff>
    </from>
    <ext cx="5400000" cy="43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1</row>
      <rowOff>0</rowOff>
    </from>
    <ext cx="1323975" cy="3238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</row>
      <rowOff>0</rowOff>
    </from>
    <ext cx="13239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1</row>
      <rowOff>0</rowOff>
    </from>
    <ext cx="13239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1</col>
      <colOff>0</colOff>
      <row>1</row>
      <rowOff>0</rowOff>
    </from>
    <ext cx="13239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1</col>
      <colOff>0</colOff>
      <row>1</row>
      <rowOff>0</rowOff>
    </from>
    <ext cx="13239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1</col>
      <colOff>0</colOff>
      <row>62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1</row>
      <rowOff>0</rowOff>
    </from>
    <ext cx="1323975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002FB344"/>
    <outlinePr summaryBelow="1" summaryRight="1"/>
    <pageSetUpPr fitToPage="1"/>
  </sheetPr>
  <dimension ref="A1:I32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80" customWidth="1" min="3" max="3"/>
    <col width="2" customWidth="1" min="4" max="4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34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 ht="24" customHeight="1">
      <c r="A3" s="1" t="n"/>
      <c r="B3" s="2" t="inlineStr">
        <is>
          <t>Kulude ja tulude tabel</t>
        </is>
      </c>
      <c r="C3" s="1" t="n"/>
      <c r="D3" s="1" t="n"/>
      <c r="E3" s="1" t="n"/>
      <c r="F3" s="1" t="n"/>
      <c r="G3" s="1" t="n"/>
      <c r="H3" s="1" t="n"/>
      <c r="I3" s="1" t="n"/>
    </row>
    <row r="4" ht="18" customHeight="1">
      <c r="A4" s="1" t="n"/>
      <c r="B4" s="3" t="inlineStr">
        <is>
          <t>Tasuta mall pere eelarveks · pere-eelarve.eu</t>
        </is>
      </c>
      <c r="C4" s="1" t="n"/>
      <c r="D4" s="1" t="n"/>
      <c r="E4" s="1" t="n"/>
      <c r="F4" s="1" t="n"/>
      <c r="G4" s="1" t="n"/>
      <c r="H4" s="1" t="n"/>
      <c r="I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</row>
    <row r="7">
      <c r="B7" s="4" t="inlineStr">
        <is>
          <t>Ole oma rahaasjade peremees. Kolm sammu ja tabel teeb ülejäänu ise.</t>
        </is>
      </c>
    </row>
    <row r="9" ht="22" customHeight="1">
      <c r="B9" s="5" t="inlineStr">
        <is>
          <t>1</t>
        </is>
      </c>
      <c r="C9" s="6" t="inlineStr">
        <is>
          <t>Eelarve</t>
        </is>
      </c>
    </row>
    <row r="10" ht="34" customHeight="1">
      <c r="C10" s="7" t="inlineStr">
        <is>
          <t>Pane lehele Eelarve iga kategooria kuu plaan. Võta aluseks eelmise kuu pangaväljavõte, mitte soovid.</t>
        </is>
      </c>
    </row>
    <row r="12" ht="22" customHeight="1">
      <c r="B12" s="5" t="inlineStr">
        <is>
          <t>2</t>
        </is>
      </c>
      <c r="C12" s="6" t="inlineStr">
        <is>
          <t>Tehingud</t>
        </is>
      </c>
    </row>
    <row r="13" ht="34" customHeight="1">
      <c r="C13" s="7" t="inlineStr">
        <is>
          <t>Kirjuta iga tehing lehele Tehingud: kuupäev, kirjeldus, kategooria (rippmenüüst) ja summa. Piisab, kui teed seda kord nädalas.</t>
        </is>
      </c>
    </row>
    <row r="15" ht="22" customHeight="1">
      <c r="B15" s="5" t="inlineStr">
        <is>
          <t>3</t>
        </is>
      </c>
      <c r="C15" s="6" t="inlineStr">
        <is>
          <t>Ülevaade</t>
        </is>
      </c>
    </row>
    <row r="16" ht="34" customHeight="1">
      <c r="C16" s="7" t="inlineStr">
        <is>
          <t>Vaata lehte Ülevaade: kuu tulud, kulud, säästud, mis alles jääb ja millised read läksid üle plaani. Kuud saad vahetada rippmenüüst.</t>
        </is>
      </c>
    </row>
    <row r="18">
      <c r="C18" s="6" t="inlineStr">
        <is>
          <t>Lisaks</t>
        </is>
      </c>
    </row>
    <row r="19" ht="30" customHeight="1">
      <c r="C19" s="7" t="inlineStr">
        <is>
          <t>Säästueesmärgid – näitab, kui kaugel oled ja palju peaksid kuus kõrvale panema, et tähtajaks valmis saada.</t>
        </is>
      </c>
    </row>
    <row r="20" ht="30" customHeight="1">
      <c r="C20" s="7" t="inlineStr">
        <is>
          <t>Laenud – näitab, mitu kuud on jäänud, millal laen läbi saab ja palju intressi veel maksad.</t>
        </is>
      </c>
    </row>
    <row r="21" ht="30" customHeight="1">
      <c r="C21" s="7" t="inlineStr">
        <is>
          <t>Aasta – kogub kõik 12 kuud kokku, et näeksid, kas säästumäär kasvab.</t>
        </is>
      </c>
    </row>
    <row r="23" ht="30" customHeight="1">
      <c r="C23" s="8" t="inlineStr">
        <is>
          <t>• Helesinised lahtrid täidad ise, ülejäänu arvutub valemitega. Valemeid ära kustuta.</t>
        </is>
      </c>
    </row>
    <row r="24" ht="30" customHeight="1">
      <c r="C24" s="8" t="inlineStr">
        <is>
          <t>• Tabelis on näidisandmed (pere, kus kahe peale teenitakse 2900 € kuus). Kustuta lehel Tehingud näidisread ja pane lehele Eelarve oma numbrid.</t>
        </is>
      </c>
    </row>
    <row r="25" ht="30" customHeight="1">
      <c r="C25" s="8" t="inlineStr">
        <is>
          <t>• Kui summa ei liitu, kirjuta sendid koma, mitte punktiga (12,50). Nii tahab eestikeelne Excel ja Google Sheets.</t>
        </is>
      </c>
    </row>
    <row r="26" ht="30" customHeight="1">
      <c r="C26" s="8" t="inlineStr">
        <is>
          <t>• Google Sheetsis: Fail → Tee koopia. Excelis töötab fail kohe.</t>
        </is>
      </c>
    </row>
    <row r="28" ht="10" customHeight="1">
      <c r="B28" s="1" t="n"/>
      <c r="C28" s="1" t="n"/>
    </row>
    <row r="29" ht="22" customHeight="1">
      <c r="B29" s="1" t="n"/>
      <c r="C29" s="9" t="inlineStr">
        <is>
          <t>Tüdinud käsitsi kirjutamisest?</t>
        </is>
      </c>
    </row>
    <row r="30" ht="34" customHeight="1">
      <c r="B30" s="1" t="n"/>
      <c r="C30" s="10" t="inlineStr">
        <is>
          <t>Perekonna Eelarve rakendus impordib pangaväljavõtte ja jagab kulud ise kategooriatesse. Tasuta, arvutis ja telefonis.</t>
        </is>
      </c>
    </row>
    <row r="31" ht="30" customHeight="1">
      <c r="B31" s="1" t="n"/>
      <c r="C31" s="11">
        <f>HYPERLINK("https://app.pere-eelarve.eu/signup?utm_source=blogi&amp;utm_medium=mall&amp;utm_campaign=kulude-ja-tulude-tabel","Loo tasuta konto  →")</f>
        <v/>
      </c>
    </row>
    <row r="32" ht="12" customHeight="1">
      <c r="B32" s="1" t="n"/>
      <c r="C32" s="1" t="n"/>
    </row>
  </sheetData>
  <mergeCells count="3">
    <mergeCell ref="B12:B13"/>
    <mergeCell ref="B9:B10"/>
    <mergeCell ref="B15:B16"/>
  </mergeCells>
  <printOptions horizontalCentered="1"/>
  <pageMargins left="0.75" right="0.75" top="1" bottom="1" header="0.5" footer="0.5"/>
  <pageSetup orientation="portrait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A2234"/>
    <outlinePr summaryBelow="1" summaryRight="1"/>
    <pageSetUpPr fitToPage="1"/>
  </sheetPr>
  <dimension ref="A1:L54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4" customWidth="1" min="3" max="3"/>
    <col width="14" customWidth="1" min="4" max="4"/>
    <col width="14" customWidth="1" min="5" max="5"/>
    <col width="11" customWidth="1" min="6" max="6"/>
    <col width="22" customWidth="1" min="7" max="7"/>
    <col width="2" customWidth="1" min="8" max="8"/>
    <col hidden="1" width="12" customWidth="1" min="11" max="11"/>
    <col hidden="1" width="12" customWidth="1" min="12" max="12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4" customHeight="1">
      <c r="A2" s="1" t="n"/>
      <c r="B2" s="1" t="n"/>
      <c r="C2" s="1" t="n"/>
      <c r="D2" s="1" t="n"/>
      <c r="E2" s="1" t="n"/>
      <c r="F2" s="1" t="n"/>
      <c r="G2" s="1" t="n"/>
      <c r="H2" s="1" t="n"/>
    </row>
    <row r="3" ht="24" customHeight="1">
      <c r="A3" s="1" t="n"/>
      <c r="B3" s="2" t="inlineStr">
        <is>
          <t>Kuu ülevaade</t>
        </is>
      </c>
      <c r="C3" s="1" t="n"/>
      <c r="D3" s="1" t="n"/>
      <c r="E3" s="1" t="n"/>
      <c r="F3" s="1" t="n"/>
      <c r="G3" s="1" t="n"/>
      <c r="H3" s="1" t="n"/>
    </row>
    <row r="4" ht="18" customHeight="1">
      <c r="A4" s="1" t="n"/>
      <c r="B4" s="3" t="inlineStr">
        <is>
          <t>Kõik numbrid arvutuvad lehtedelt Eelarve ja Tehingud</t>
        </is>
      </c>
      <c r="C4" s="1" t="n"/>
      <c r="D4" s="1" t="n"/>
      <c r="E4" s="1" t="n"/>
      <c r="F4" s="1" t="n"/>
      <c r="G4" s="1" t="n"/>
      <c r="H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</row>
    <row r="7" ht="28" customHeight="1">
      <c r="B7" s="12" t="inlineStr">
        <is>
          <t>Vali kuu ja aasta:</t>
        </is>
      </c>
      <c r="C7" s="13">
        <f>INDEX(Seaded!$A$2:$A$13,MONTH(TODAY()))</f>
        <v/>
      </c>
      <c r="D7" s="14">
        <f>YEAR(TODAY())</f>
        <v/>
      </c>
      <c r="E7" s="15" t="inlineStr">
        <is>
          <t>← vali rippmenüüst</t>
        </is>
      </c>
      <c r="K7" s="16">
        <f>DATE($D$7,MATCH($C$7,Seaded!$A$2:$A$13,0),1)</f>
        <v/>
      </c>
      <c r="L7" s="16">
        <f>DATE($D$7,MATCH($C$7,Seaded!$A$2:$A$13,0)+1,1)</f>
        <v/>
      </c>
    </row>
    <row r="9" ht="8" customHeight="1">
      <c r="B9" s="17" t="n"/>
      <c r="C9" s="17" t="n"/>
      <c r="D9" s="17" t="n"/>
      <c r="E9" s="17" t="n"/>
      <c r="F9" s="17" t="n"/>
      <c r="G9" s="1" t="n"/>
    </row>
    <row r="10" ht="20" customHeight="1">
      <c r="B10" s="18" t="inlineStr">
        <is>
          <t>TULUD</t>
        </is>
      </c>
      <c r="C10" s="18" t="inlineStr">
        <is>
          <t>KULUD</t>
        </is>
      </c>
      <c r="E10" s="18" t="inlineStr">
        <is>
          <t>SÄÄSTUD</t>
        </is>
      </c>
      <c r="G10" s="19" t="inlineStr">
        <is>
          <t>ALLES JÄÄB</t>
        </is>
      </c>
    </row>
    <row r="11" ht="34" customHeight="1">
      <c r="B11" s="20">
        <f>SUMPRODUCT(ISNUMBER(MATCH(Tehingud!$D$8:$D$407,Eelarve!$B$9:$B$26,0))*(Tehingud!$B$8:$B$407&gt;=$K$7)*(Tehingud!$B$8:$B$407&lt;$L$7)*(Tehingud!$D$8:$D$407&lt;&gt;""),Tehingud!$E$8:$E$407)</f>
        <v/>
      </c>
      <c r="C11" s="20">
        <f>SUMPRODUCT(ISNUMBER(MATCH(Tehingud!$D$8:$D$407,Eelarve!$B$31:$B$62,0))*(Tehingud!$B$8:$B$407&gt;=$K$7)*(Tehingud!$B$8:$B$407&lt;$L$7)*(Tehingud!$D$8:$D$407&lt;&gt;""),Tehingud!$E$8:$E$407)</f>
        <v/>
      </c>
      <c r="E11" s="20">
        <f>SUMPRODUCT(ISNUMBER(MATCH(Tehingud!$D$8:$D$407,Eelarve!$B$67:$B$81,0))*(Tehingud!$B$8:$B$407&gt;=$K$7)*(Tehingud!$B$8:$B$407&lt;$L$7)*(Tehingud!$D$8:$D$407&lt;&gt;""),Tehingud!$E$8:$E$407)</f>
        <v/>
      </c>
      <c r="G11" s="21">
        <f>B11-C11-E11</f>
        <v/>
      </c>
    </row>
    <row r="12" ht="20" customHeight="1">
      <c r="B12" s="22">
        <f>Eelarve!C27</f>
        <v/>
      </c>
      <c r="C12" s="22">
        <f>Eelarve!C63</f>
        <v/>
      </c>
      <c r="E12" s="22">
        <f>Eelarve!C82</f>
        <v/>
      </c>
      <c r="G12" s="23">
        <f>B12-C12-E12</f>
        <v/>
      </c>
    </row>
    <row r="13" ht="8" customHeight="1">
      <c r="B13" s="17" t="n"/>
      <c r="C13" s="17" t="n"/>
      <c r="D13" s="17" t="n"/>
      <c r="E13" s="17" t="n"/>
      <c r="F13" s="17" t="n"/>
      <c r="G13" s="1" t="n"/>
    </row>
    <row r="15" ht="24" customHeight="1">
      <c r="B15" s="12" t="inlineStr">
        <is>
          <t>Säästumäär (säästud / tulud)</t>
        </is>
      </c>
      <c r="C15" s="24">
        <f>IF(N(B11)=0,"",E11/B11)</f>
        <v/>
      </c>
      <c r="D15" s="25">
        <f>IF(C15="","",REPT("█",ROUND(MIN(C15/0.2,1)*20,0))&amp;REPT("░",20-ROUND(MIN(C15/0.2,1)*20,0)))</f>
        <v/>
      </c>
    </row>
    <row r="16">
      <c r="D16" s="26" t="inlineStr">
        <is>
          <t>Täisriba = 20 % tuludest kõrvale pandud</t>
        </is>
      </c>
    </row>
    <row r="18" ht="26" customHeight="1">
      <c r="B18" s="27" t="inlineStr">
        <is>
          <t>KULUD KATEGOORIATE KAUPA</t>
        </is>
      </c>
      <c r="C18" s="28" t="n"/>
      <c r="D18" s="28" t="n"/>
      <c r="E18" s="28" t="n"/>
      <c r="F18" s="28" t="n"/>
      <c r="G18" s="28" t="n"/>
    </row>
    <row r="19" ht="22" customHeight="1">
      <c r="B19" s="29" t="inlineStr">
        <is>
          <t>Kategooria</t>
        </is>
      </c>
      <c r="C19" s="30" t="inlineStr">
        <is>
          <t>Plaan</t>
        </is>
      </c>
      <c r="D19" s="30" t="inlineStr">
        <is>
          <t>Tegelik</t>
        </is>
      </c>
      <c r="E19" s="30" t="inlineStr">
        <is>
          <t>Jääk</t>
        </is>
      </c>
      <c r="F19" s="30" t="inlineStr">
        <is>
          <t>Kasutatud</t>
        </is>
      </c>
      <c r="G19" s="30" t="inlineStr"/>
    </row>
    <row r="20" ht="20" customHeight="1">
      <c r="B20" s="31">
        <f>IF(Eelarve!B31="","",Eelarve!B31)</f>
        <v/>
      </c>
      <c r="C20" s="32">
        <f>IF(B20="","",N(Eelarve!C31))</f>
        <v/>
      </c>
      <c r="D20" s="32">
        <f>IF(B20="","",SUMIFS(Tehingud!$E$8:$E$407,Tehingud!$D$8:$D$407,B20,Tehingud!$B$8:$B$407,"&gt;="&amp;$K$7,Tehingud!$B$8:$B$407,"&lt;"&amp;$L$7))</f>
        <v/>
      </c>
      <c r="E20" s="32">
        <f>IF(B20="","",C20-D20)</f>
        <v/>
      </c>
      <c r="F20" s="33">
        <f>IF(OR(B20="",N(C20)=0),"",D20/C20)</f>
        <v/>
      </c>
      <c r="G20" s="34">
        <f>IF(F20="","",REPT("█",ROUND(MIN(F20,1)*12,0))&amp;REPT("░",12-ROUND(MIN(F20,1)*12,0)))</f>
        <v/>
      </c>
    </row>
    <row r="21" ht="20" customHeight="1">
      <c r="B21" s="31">
        <f>IF(Eelarve!B32="","",Eelarve!B32)</f>
        <v/>
      </c>
      <c r="C21" s="32">
        <f>IF(B21="","",N(Eelarve!C32))</f>
        <v/>
      </c>
      <c r="D21" s="32">
        <f>IF(B21="","",SUMIFS(Tehingud!$E$8:$E$407,Tehingud!$D$8:$D$407,B21,Tehingud!$B$8:$B$407,"&gt;="&amp;$K$7,Tehingud!$B$8:$B$407,"&lt;"&amp;$L$7))</f>
        <v/>
      </c>
      <c r="E21" s="32">
        <f>IF(B21="","",C21-D21)</f>
        <v/>
      </c>
      <c r="F21" s="33">
        <f>IF(OR(B21="",N(C21)=0),"",D21/C21)</f>
        <v/>
      </c>
      <c r="G21" s="34">
        <f>IF(F21="","",REPT("█",ROUND(MIN(F21,1)*12,0))&amp;REPT("░",12-ROUND(MIN(F21,1)*12,0)))</f>
        <v/>
      </c>
    </row>
    <row r="22" ht="20" customHeight="1">
      <c r="B22" s="31">
        <f>IF(Eelarve!B33="","",Eelarve!B33)</f>
        <v/>
      </c>
      <c r="C22" s="32">
        <f>IF(B22="","",N(Eelarve!C33))</f>
        <v/>
      </c>
      <c r="D22" s="32">
        <f>IF(B22="","",SUMIFS(Tehingud!$E$8:$E$407,Tehingud!$D$8:$D$407,B22,Tehingud!$B$8:$B$407,"&gt;="&amp;$K$7,Tehingud!$B$8:$B$407,"&lt;"&amp;$L$7))</f>
        <v/>
      </c>
      <c r="E22" s="32">
        <f>IF(B22="","",C22-D22)</f>
        <v/>
      </c>
      <c r="F22" s="33">
        <f>IF(OR(B22="",N(C22)=0),"",D22/C22)</f>
        <v/>
      </c>
      <c r="G22" s="34">
        <f>IF(F22="","",REPT("█",ROUND(MIN(F22,1)*12,0))&amp;REPT("░",12-ROUND(MIN(F22,1)*12,0)))</f>
        <v/>
      </c>
    </row>
    <row r="23" ht="20" customHeight="1">
      <c r="B23" s="31">
        <f>IF(Eelarve!B34="","",Eelarve!B34)</f>
        <v/>
      </c>
      <c r="C23" s="32">
        <f>IF(B23="","",N(Eelarve!C34))</f>
        <v/>
      </c>
      <c r="D23" s="32">
        <f>IF(B23="","",SUMIFS(Tehingud!$E$8:$E$407,Tehingud!$D$8:$D$407,B23,Tehingud!$B$8:$B$407,"&gt;="&amp;$K$7,Tehingud!$B$8:$B$407,"&lt;"&amp;$L$7))</f>
        <v/>
      </c>
      <c r="E23" s="32">
        <f>IF(B23="","",C23-D23)</f>
        <v/>
      </c>
      <c r="F23" s="33">
        <f>IF(OR(B23="",N(C23)=0),"",D23/C23)</f>
        <v/>
      </c>
      <c r="G23" s="34">
        <f>IF(F23="","",REPT("█",ROUND(MIN(F23,1)*12,0))&amp;REPT("░",12-ROUND(MIN(F23,1)*12,0)))</f>
        <v/>
      </c>
    </row>
    <row r="24" ht="20" customHeight="1">
      <c r="B24" s="31">
        <f>IF(Eelarve!B35="","",Eelarve!B35)</f>
        <v/>
      </c>
      <c r="C24" s="32">
        <f>IF(B24="","",N(Eelarve!C35))</f>
        <v/>
      </c>
      <c r="D24" s="32">
        <f>IF(B24="","",SUMIFS(Tehingud!$E$8:$E$407,Tehingud!$D$8:$D$407,B24,Tehingud!$B$8:$B$407,"&gt;="&amp;$K$7,Tehingud!$B$8:$B$407,"&lt;"&amp;$L$7))</f>
        <v/>
      </c>
      <c r="E24" s="32">
        <f>IF(B24="","",C24-D24)</f>
        <v/>
      </c>
      <c r="F24" s="33">
        <f>IF(OR(B24="",N(C24)=0),"",D24/C24)</f>
        <v/>
      </c>
      <c r="G24" s="34">
        <f>IF(F24="","",REPT("█",ROUND(MIN(F24,1)*12,0))&amp;REPT("░",12-ROUND(MIN(F24,1)*12,0)))</f>
        <v/>
      </c>
    </row>
    <row r="25" ht="20" customHeight="1">
      <c r="B25" s="31">
        <f>IF(Eelarve!B36="","",Eelarve!B36)</f>
        <v/>
      </c>
      <c r="C25" s="32">
        <f>IF(B25="","",N(Eelarve!C36))</f>
        <v/>
      </c>
      <c r="D25" s="32">
        <f>IF(B25="","",SUMIFS(Tehingud!$E$8:$E$407,Tehingud!$D$8:$D$407,B25,Tehingud!$B$8:$B$407,"&gt;="&amp;$K$7,Tehingud!$B$8:$B$407,"&lt;"&amp;$L$7))</f>
        <v/>
      </c>
      <c r="E25" s="32">
        <f>IF(B25="","",C25-D25)</f>
        <v/>
      </c>
      <c r="F25" s="33">
        <f>IF(OR(B25="",N(C25)=0),"",D25/C25)</f>
        <v/>
      </c>
      <c r="G25" s="34">
        <f>IF(F25="","",REPT("█",ROUND(MIN(F25,1)*12,0))&amp;REPT("░",12-ROUND(MIN(F25,1)*12,0)))</f>
        <v/>
      </c>
    </row>
    <row r="26" ht="20" customHeight="1">
      <c r="B26" s="31">
        <f>IF(Eelarve!B37="","",Eelarve!B37)</f>
        <v/>
      </c>
      <c r="C26" s="32">
        <f>IF(B26="","",N(Eelarve!C37))</f>
        <v/>
      </c>
      <c r="D26" s="32">
        <f>IF(B26="","",SUMIFS(Tehingud!$E$8:$E$407,Tehingud!$D$8:$D$407,B26,Tehingud!$B$8:$B$407,"&gt;="&amp;$K$7,Tehingud!$B$8:$B$407,"&lt;"&amp;$L$7))</f>
        <v/>
      </c>
      <c r="E26" s="32">
        <f>IF(B26="","",C26-D26)</f>
        <v/>
      </c>
      <c r="F26" s="33">
        <f>IF(OR(B26="",N(C26)=0),"",D26/C26)</f>
        <v/>
      </c>
      <c r="G26" s="34">
        <f>IF(F26="","",REPT("█",ROUND(MIN(F26,1)*12,0))&amp;REPT("░",12-ROUND(MIN(F26,1)*12,0)))</f>
        <v/>
      </c>
    </row>
    <row r="27" ht="20" customHeight="1">
      <c r="B27" s="31">
        <f>IF(Eelarve!B38="","",Eelarve!B38)</f>
        <v/>
      </c>
      <c r="C27" s="32">
        <f>IF(B27="","",N(Eelarve!C38))</f>
        <v/>
      </c>
      <c r="D27" s="32">
        <f>IF(B27="","",SUMIFS(Tehingud!$E$8:$E$407,Tehingud!$D$8:$D$407,B27,Tehingud!$B$8:$B$407,"&gt;="&amp;$K$7,Tehingud!$B$8:$B$407,"&lt;"&amp;$L$7))</f>
        <v/>
      </c>
      <c r="E27" s="32">
        <f>IF(B27="","",C27-D27)</f>
        <v/>
      </c>
      <c r="F27" s="33">
        <f>IF(OR(B27="",N(C27)=0),"",D27/C27)</f>
        <v/>
      </c>
      <c r="G27" s="34">
        <f>IF(F27="","",REPT("█",ROUND(MIN(F27,1)*12,0))&amp;REPT("░",12-ROUND(MIN(F27,1)*12,0)))</f>
        <v/>
      </c>
    </row>
    <row r="28" ht="20" customHeight="1">
      <c r="B28" s="31">
        <f>IF(Eelarve!B39="","",Eelarve!B39)</f>
        <v/>
      </c>
      <c r="C28" s="32">
        <f>IF(B28="","",N(Eelarve!C39))</f>
        <v/>
      </c>
      <c r="D28" s="32">
        <f>IF(B28="","",SUMIFS(Tehingud!$E$8:$E$407,Tehingud!$D$8:$D$407,B28,Tehingud!$B$8:$B$407,"&gt;="&amp;$K$7,Tehingud!$B$8:$B$407,"&lt;"&amp;$L$7))</f>
        <v/>
      </c>
      <c r="E28" s="32">
        <f>IF(B28="","",C28-D28)</f>
        <v/>
      </c>
      <c r="F28" s="33">
        <f>IF(OR(B28="",N(C28)=0),"",D28/C28)</f>
        <v/>
      </c>
      <c r="G28" s="34">
        <f>IF(F28="","",REPT("█",ROUND(MIN(F28,1)*12,0))&amp;REPT("░",12-ROUND(MIN(F28,1)*12,0)))</f>
        <v/>
      </c>
    </row>
    <row r="29" ht="20" customHeight="1">
      <c r="B29" s="31">
        <f>IF(Eelarve!B40="","",Eelarve!B40)</f>
        <v/>
      </c>
      <c r="C29" s="32">
        <f>IF(B29="","",N(Eelarve!C40))</f>
        <v/>
      </c>
      <c r="D29" s="32">
        <f>IF(B29="","",SUMIFS(Tehingud!$E$8:$E$407,Tehingud!$D$8:$D$407,B29,Tehingud!$B$8:$B$407,"&gt;="&amp;$K$7,Tehingud!$B$8:$B$407,"&lt;"&amp;$L$7))</f>
        <v/>
      </c>
      <c r="E29" s="32">
        <f>IF(B29="","",C29-D29)</f>
        <v/>
      </c>
      <c r="F29" s="33">
        <f>IF(OR(B29="",N(C29)=0),"",D29/C29)</f>
        <v/>
      </c>
      <c r="G29" s="34">
        <f>IF(F29="","",REPT("█",ROUND(MIN(F29,1)*12,0))&amp;REPT("░",12-ROUND(MIN(F29,1)*12,0)))</f>
        <v/>
      </c>
    </row>
    <row r="30" ht="20" customHeight="1">
      <c r="B30" s="31">
        <f>IF(Eelarve!B41="","",Eelarve!B41)</f>
        <v/>
      </c>
      <c r="C30" s="32">
        <f>IF(B30="","",N(Eelarve!C41))</f>
        <v/>
      </c>
      <c r="D30" s="32">
        <f>IF(B30="","",SUMIFS(Tehingud!$E$8:$E$407,Tehingud!$D$8:$D$407,B30,Tehingud!$B$8:$B$407,"&gt;="&amp;$K$7,Tehingud!$B$8:$B$407,"&lt;"&amp;$L$7))</f>
        <v/>
      </c>
      <c r="E30" s="32">
        <f>IF(B30="","",C30-D30)</f>
        <v/>
      </c>
      <c r="F30" s="33">
        <f>IF(OR(B30="",N(C30)=0),"",D30/C30)</f>
        <v/>
      </c>
      <c r="G30" s="34">
        <f>IF(F30="","",REPT("█",ROUND(MIN(F30,1)*12,0))&amp;REPT("░",12-ROUND(MIN(F30,1)*12,0)))</f>
        <v/>
      </c>
    </row>
    <row r="31" ht="20" customHeight="1">
      <c r="B31" s="31">
        <f>IF(Eelarve!B42="","",Eelarve!B42)</f>
        <v/>
      </c>
      <c r="C31" s="32">
        <f>IF(B31="","",N(Eelarve!C42))</f>
        <v/>
      </c>
      <c r="D31" s="32">
        <f>IF(B31="","",SUMIFS(Tehingud!$E$8:$E$407,Tehingud!$D$8:$D$407,B31,Tehingud!$B$8:$B$407,"&gt;="&amp;$K$7,Tehingud!$B$8:$B$407,"&lt;"&amp;$L$7))</f>
        <v/>
      </c>
      <c r="E31" s="32">
        <f>IF(B31="","",C31-D31)</f>
        <v/>
      </c>
      <c r="F31" s="33">
        <f>IF(OR(B31="",N(C31)=0),"",D31/C31)</f>
        <v/>
      </c>
      <c r="G31" s="34">
        <f>IF(F31="","",REPT("█",ROUND(MIN(F31,1)*12,0))&amp;REPT("░",12-ROUND(MIN(F31,1)*12,0)))</f>
        <v/>
      </c>
    </row>
    <row r="32" ht="20" customHeight="1">
      <c r="B32" s="31">
        <f>IF(Eelarve!B43="","",Eelarve!B43)</f>
        <v/>
      </c>
      <c r="C32" s="32">
        <f>IF(B32="","",N(Eelarve!C43))</f>
        <v/>
      </c>
      <c r="D32" s="32">
        <f>IF(B32="","",SUMIFS(Tehingud!$E$8:$E$407,Tehingud!$D$8:$D$407,B32,Tehingud!$B$8:$B$407,"&gt;="&amp;$K$7,Tehingud!$B$8:$B$407,"&lt;"&amp;$L$7))</f>
        <v/>
      </c>
      <c r="E32" s="32">
        <f>IF(B32="","",C32-D32)</f>
        <v/>
      </c>
      <c r="F32" s="33">
        <f>IF(OR(B32="",N(C32)=0),"",D32/C32)</f>
        <v/>
      </c>
      <c r="G32" s="34">
        <f>IF(F32="","",REPT("█",ROUND(MIN(F32,1)*12,0))&amp;REPT("░",12-ROUND(MIN(F32,1)*12,0)))</f>
        <v/>
      </c>
    </row>
    <row r="33" ht="20" customHeight="1">
      <c r="B33" s="31">
        <f>IF(Eelarve!B44="","",Eelarve!B44)</f>
        <v/>
      </c>
      <c r="C33" s="32">
        <f>IF(B33="","",N(Eelarve!C44))</f>
        <v/>
      </c>
      <c r="D33" s="32">
        <f>IF(B33="","",SUMIFS(Tehingud!$E$8:$E$407,Tehingud!$D$8:$D$407,B33,Tehingud!$B$8:$B$407,"&gt;="&amp;$K$7,Tehingud!$B$8:$B$407,"&lt;"&amp;$L$7))</f>
        <v/>
      </c>
      <c r="E33" s="32">
        <f>IF(B33="","",C33-D33)</f>
        <v/>
      </c>
      <c r="F33" s="33">
        <f>IF(OR(B33="",N(C33)=0),"",D33/C33)</f>
        <v/>
      </c>
      <c r="G33" s="34">
        <f>IF(F33="","",REPT("█",ROUND(MIN(F33,1)*12,0))&amp;REPT("░",12-ROUND(MIN(F33,1)*12,0)))</f>
        <v/>
      </c>
    </row>
    <row r="34" ht="20" customHeight="1">
      <c r="B34" s="31">
        <f>IF(Eelarve!B45="","",Eelarve!B45)</f>
        <v/>
      </c>
      <c r="C34" s="32">
        <f>IF(B34="","",N(Eelarve!C45))</f>
        <v/>
      </c>
      <c r="D34" s="32">
        <f>IF(B34="","",SUMIFS(Tehingud!$E$8:$E$407,Tehingud!$D$8:$D$407,B34,Tehingud!$B$8:$B$407,"&gt;="&amp;$K$7,Tehingud!$B$8:$B$407,"&lt;"&amp;$L$7))</f>
        <v/>
      </c>
      <c r="E34" s="32">
        <f>IF(B34="","",C34-D34)</f>
        <v/>
      </c>
      <c r="F34" s="33">
        <f>IF(OR(B34="",N(C34)=0),"",D34/C34)</f>
        <v/>
      </c>
      <c r="G34" s="34">
        <f>IF(F34="","",REPT("█",ROUND(MIN(F34,1)*12,0))&amp;REPT("░",12-ROUND(MIN(F34,1)*12,0)))</f>
        <v/>
      </c>
    </row>
    <row r="35" ht="20" customHeight="1">
      <c r="B35" s="31">
        <f>IF(Eelarve!B46="","",Eelarve!B46)</f>
        <v/>
      </c>
      <c r="C35" s="32">
        <f>IF(B35="","",N(Eelarve!C46))</f>
        <v/>
      </c>
      <c r="D35" s="32">
        <f>IF(B35="","",SUMIFS(Tehingud!$E$8:$E$407,Tehingud!$D$8:$D$407,B35,Tehingud!$B$8:$B$407,"&gt;="&amp;$K$7,Tehingud!$B$8:$B$407,"&lt;"&amp;$L$7))</f>
        <v/>
      </c>
      <c r="E35" s="32">
        <f>IF(B35="","",C35-D35)</f>
        <v/>
      </c>
      <c r="F35" s="33">
        <f>IF(OR(B35="",N(C35)=0),"",D35/C35)</f>
        <v/>
      </c>
      <c r="G35" s="34">
        <f>IF(F35="","",REPT("█",ROUND(MIN(F35,1)*12,0))&amp;REPT("░",12-ROUND(MIN(F35,1)*12,0)))</f>
        <v/>
      </c>
    </row>
    <row r="36" ht="20" customHeight="1">
      <c r="B36" s="31">
        <f>IF(Eelarve!B47="","",Eelarve!B47)</f>
        <v/>
      </c>
      <c r="C36" s="32">
        <f>IF(B36="","",N(Eelarve!C47))</f>
        <v/>
      </c>
      <c r="D36" s="32">
        <f>IF(B36="","",SUMIFS(Tehingud!$E$8:$E$407,Tehingud!$D$8:$D$407,B36,Tehingud!$B$8:$B$407,"&gt;="&amp;$K$7,Tehingud!$B$8:$B$407,"&lt;"&amp;$L$7))</f>
        <v/>
      </c>
      <c r="E36" s="32">
        <f>IF(B36="","",C36-D36)</f>
        <v/>
      </c>
      <c r="F36" s="33">
        <f>IF(OR(B36="",N(C36)=0),"",D36/C36)</f>
        <v/>
      </c>
      <c r="G36" s="34">
        <f>IF(F36="","",REPT("█",ROUND(MIN(F36,1)*12,0))&amp;REPT("░",12-ROUND(MIN(F36,1)*12,0)))</f>
        <v/>
      </c>
    </row>
    <row r="37" ht="20" customHeight="1">
      <c r="B37" s="31">
        <f>IF(Eelarve!B48="","",Eelarve!B48)</f>
        <v/>
      </c>
      <c r="C37" s="32">
        <f>IF(B37="","",N(Eelarve!C48))</f>
        <v/>
      </c>
      <c r="D37" s="32">
        <f>IF(B37="","",SUMIFS(Tehingud!$E$8:$E$407,Tehingud!$D$8:$D$407,B37,Tehingud!$B$8:$B$407,"&gt;="&amp;$K$7,Tehingud!$B$8:$B$407,"&lt;"&amp;$L$7))</f>
        <v/>
      </c>
      <c r="E37" s="32">
        <f>IF(B37="","",C37-D37)</f>
        <v/>
      </c>
      <c r="F37" s="33">
        <f>IF(OR(B37="",N(C37)=0),"",D37/C37)</f>
        <v/>
      </c>
      <c r="G37" s="34">
        <f>IF(F37="","",REPT("█",ROUND(MIN(F37,1)*12,0))&amp;REPT("░",12-ROUND(MIN(F37,1)*12,0)))</f>
        <v/>
      </c>
    </row>
    <row r="38" ht="20" customHeight="1">
      <c r="B38" s="31">
        <f>IF(Eelarve!B49="","",Eelarve!B49)</f>
        <v/>
      </c>
      <c r="C38" s="32">
        <f>IF(B38="","",N(Eelarve!C49))</f>
        <v/>
      </c>
      <c r="D38" s="32">
        <f>IF(B38="","",SUMIFS(Tehingud!$E$8:$E$407,Tehingud!$D$8:$D$407,B38,Tehingud!$B$8:$B$407,"&gt;="&amp;$K$7,Tehingud!$B$8:$B$407,"&lt;"&amp;$L$7))</f>
        <v/>
      </c>
      <c r="E38" s="32">
        <f>IF(B38="","",C38-D38)</f>
        <v/>
      </c>
      <c r="F38" s="33">
        <f>IF(OR(B38="",N(C38)=0),"",D38/C38)</f>
        <v/>
      </c>
      <c r="G38" s="34">
        <f>IF(F38="","",REPT("█",ROUND(MIN(F38,1)*12,0))&amp;REPT("░",12-ROUND(MIN(F38,1)*12,0)))</f>
        <v/>
      </c>
    </row>
    <row r="39" ht="20" customHeight="1">
      <c r="B39" s="31">
        <f>IF(Eelarve!B50="","",Eelarve!B50)</f>
        <v/>
      </c>
      <c r="C39" s="32">
        <f>IF(B39="","",N(Eelarve!C50))</f>
        <v/>
      </c>
      <c r="D39" s="32">
        <f>IF(B39="","",SUMIFS(Tehingud!$E$8:$E$407,Tehingud!$D$8:$D$407,B39,Tehingud!$B$8:$B$407,"&gt;="&amp;$K$7,Tehingud!$B$8:$B$407,"&lt;"&amp;$L$7))</f>
        <v/>
      </c>
      <c r="E39" s="32">
        <f>IF(B39="","",C39-D39)</f>
        <v/>
      </c>
      <c r="F39" s="33">
        <f>IF(OR(B39="",N(C39)=0),"",D39/C39)</f>
        <v/>
      </c>
      <c r="G39" s="34">
        <f>IF(F39="","",REPT("█",ROUND(MIN(F39,1)*12,0))&amp;REPT("░",12-ROUND(MIN(F39,1)*12,0)))</f>
        <v/>
      </c>
    </row>
    <row r="40" ht="20" customHeight="1">
      <c r="B40" s="31">
        <f>IF(Eelarve!B51="","",Eelarve!B51)</f>
        <v/>
      </c>
      <c r="C40" s="32">
        <f>IF(B40="","",N(Eelarve!C51))</f>
        <v/>
      </c>
      <c r="D40" s="32">
        <f>IF(B40="","",SUMIFS(Tehingud!$E$8:$E$407,Tehingud!$D$8:$D$407,B40,Tehingud!$B$8:$B$407,"&gt;="&amp;$K$7,Tehingud!$B$8:$B$407,"&lt;"&amp;$L$7))</f>
        <v/>
      </c>
      <c r="E40" s="32">
        <f>IF(B40="","",C40-D40)</f>
        <v/>
      </c>
      <c r="F40" s="33">
        <f>IF(OR(B40="",N(C40)=0),"",D40/C40)</f>
        <v/>
      </c>
      <c r="G40" s="34">
        <f>IF(F40="","",REPT("█",ROUND(MIN(F40,1)*12,0))&amp;REPT("░",12-ROUND(MIN(F40,1)*12,0)))</f>
        <v/>
      </c>
    </row>
    <row r="41" ht="20" customHeight="1">
      <c r="B41" s="31">
        <f>IF(Eelarve!B52="","",Eelarve!B52)</f>
        <v/>
      </c>
      <c r="C41" s="32">
        <f>IF(B41="","",N(Eelarve!C52))</f>
        <v/>
      </c>
      <c r="D41" s="32">
        <f>IF(B41="","",SUMIFS(Tehingud!$E$8:$E$407,Tehingud!$D$8:$D$407,B41,Tehingud!$B$8:$B$407,"&gt;="&amp;$K$7,Tehingud!$B$8:$B$407,"&lt;"&amp;$L$7))</f>
        <v/>
      </c>
      <c r="E41" s="32">
        <f>IF(B41="","",C41-D41)</f>
        <v/>
      </c>
      <c r="F41" s="33">
        <f>IF(OR(B41="",N(C41)=0),"",D41/C41)</f>
        <v/>
      </c>
      <c r="G41" s="34">
        <f>IF(F41="","",REPT("█",ROUND(MIN(F41,1)*12,0))&amp;REPT("░",12-ROUND(MIN(F41,1)*12,0)))</f>
        <v/>
      </c>
    </row>
    <row r="42" ht="20" customHeight="1">
      <c r="B42" s="31">
        <f>IF(Eelarve!B53="","",Eelarve!B53)</f>
        <v/>
      </c>
      <c r="C42" s="32">
        <f>IF(B42="","",N(Eelarve!C53))</f>
        <v/>
      </c>
      <c r="D42" s="32">
        <f>IF(B42="","",SUMIFS(Tehingud!$E$8:$E$407,Tehingud!$D$8:$D$407,B42,Tehingud!$B$8:$B$407,"&gt;="&amp;$K$7,Tehingud!$B$8:$B$407,"&lt;"&amp;$L$7))</f>
        <v/>
      </c>
      <c r="E42" s="32">
        <f>IF(B42="","",C42-D42)</f>
        <v/>
      </c>
      <c r="F42" s="33">
        <f>IF(OR(B42="",N(C42)=0),"",D42/C42)</f>
        <v/>
      </c>
      <c r="G42" s="34">
        <f>IF(F42="","",REPT("█",ROUND(MIN(F42,1)*12,0))&amp;REPT("░",12-ROUND(MIN(F42,1)*12,0)))</f>
        <v/>
      </c>
    </row>
    <row r="43" ht="20" customHeight="1">
      <c r="B43" s="31">
        <f>IF(Eelarve!B54="","",Eelarve!B54)</f>
        <v/>
      </c>
      <c r="C43" s="32">
        <f>IF(B43="","",N(Eelarve!C54))</f>
        <v/>
      </c>
      <c r="D43" s="32">
        <f>IF(B43="","",SUMIFS(Tehingud!$E$8:$E$407,Tehingud!$D$8:$D$407,B43,Tehingud!$B$8:$B$407,"&gt;="&amp;$K$7,Tehingud!$B$8:$B$407,"&lt;"&amp;$L$7))</f>
        <v/>
      </c>
      <c r="E43" s="32">
        <f>IF(B43="","",C43-D43)</f>
        <v/>
      </c>
      <c r="F43" s="33">
        <f>IF(OR(B43="",N(C43)=0),"",D43/C43)</f>
        <v/>
      </c>
      <c r="G43" s="34">
        <f>IF(F43="","",REPT("█",ROUND(MIN(F43,1)*12,0))&amp;REPT("░",12-ROUND(MIN(F43,1)*12,0)))</f>
        <v/>
      </c>
    </row>
    <row r="44" ht="20" customHeight="1">
      <c r="B44" s="31">
        <f>IF(Eelarve!B55="","",Eelarve!B55)</f>
        <v/>
      </c>
      <c r="C44" s="32">
        <f>IF(B44="","",N(Eelarve!C55))</f>
        <v/>
      </c>
      <c r="D44" s="32">
        <f>IF(B44="","",SUMIFS(Tehingud!$E$8:$E$407,Tehingud!$D$8:$D$407,B44,Tehingud!$B$8:$B$407,"&gt;="&amp;$K$7,Tehingud!$B$8:$B$407,"&lt;"&amp;$L$7))</f>
        <v/>
      </c>
      <c r="E44" s="32">
        <f>IF(B44="","",C44-D44)</f>
        <v/>
      </c>
      <c r="F44" s="33">
        <f>IF(OR(B44="",N(C44)=0),"",D44/C44)</f>
        <v/>
      </c>
      <c r="G44" s="34">
        <f>IF(F44="","",REPT("█",ROUND(MIN(F44,1)*12,0))&amp;REPT("░",12-ROUND(MIN(F44,1)*12,0)))</f>
        <v/>
      </c>
    </row>
    <row r="45" ht="20" customHeight="1">
      <c r="B45" s="31">
        <f>IF(Eelarve!B56="","",Eelarve!B56)</f>
        <v/>
      </c>
      <c r="C45" s="32">
        <f>IF(B45="","",N(Eelarve!C56))</f>
        <v/>
      </c>
      <c r="D45" s="32">
        <f>IF(B45="","",SUMIFS(Tehingud!$E$8:$E$407,Tehingud!$D$8:$D$407,B45,Tehingud!$B$8:$B$407,"&gt;="&amp;$K$7,Tehingud!$B$8:$B$407,"&lt;"&amp;$L$7))</f>
        <v/>
      </c>
      <c r="E45" s="32">
        <f>IF(B45="","",C45-D45)</f>
        <v/>
      </c>
      <c r="F45" s="33">
        <f>IF(OR(B45="",N(C45)=0),"",D45/C45)</f>
        <v/>
      </c>
      <c r="G45" s="34">
        <f>IF(F45="","",REPT("█",ROUND(MIN(F45,1)*12,0))&amp;REPT("░",12-ROUND(MIN(F45,1)*12,0)))</f>
        <v/>
      </c>
    </row>
    <row r="46" ht="20" customHeight="1">
      <c r="B46" s="31">
        <f>IF(Eelarve!B57="","",Eelarve!B57)</f>
        <v/>
      </c>
      <c r="C46" s="32">
        <f>IF(B46="","",N(Eelarve!C57))</f>
        <v/>
      </c>
      <c r="D46" s="32">
        <f>IF(B46="","",SUMIFS(Tehingud!$E$8:$E$407,Tehingud!$D$8:$D$407,B46,Tehingud!$B$8:$B$407,"&gt;="&amp;$K$7,Tehingud!$B$8:$B$407,"&lt;"&amp;$L$7))</f>
        <v/>
      </c>
      <c r="E46" s="32">
        <f>IF(B46="","",C46-D46)</f>
        <v/>
      </c>
      <c r="F46" s="33">
        <f>IF(OR(B46="",N(C46)=0),"",D46/C46)</f>
        <v/>
      </c>
      <c r="G46" s="34">
        <f>IF(F46="","",REPT("█",ROUND(MIN(F46,1)*12,0))&amp;REPT("░",12-ROUND(MIN(F46,1)*12,0)))</f>
        <v/>
      </c>
    </row>
    <row r="47" ht="20" customHeight="1">
      <c r="B47" s="31">
        <f>IF(Eelarve!B58="","",Eelarve!B58)</f>
        <v/>
      </c>
      <c r="C47" s="32">
        <f>IF(B47="","",N(Eelarve!C58))</f>
        <v/>
      </c>
      <c r="D47" s="32">
        <f>IF(B47="","",SUMIFS(Tehingud!$E$8:$E$407,Tehingud!$D$8:$D$407,B47,Tehingud!$B$8:$B$407,"&gt;="&amp;$K$7,Tehingud!$B$8:$B$407,"&lt;"&amp;$L$7))</f>
        <v/>
      </c>
      <c r="E47" s="32">
        <f>IF(B47="","",C47-D47)</f>
        <v/>
      </c>
      <c r="F47" s="33">
        <f>IF(OR(B47="",N(C47)=0),"",D47/C47)</f>
        <v/>
      </c>
      <c r="G47" s="34">
        <f>IF(F47="","",REPT("█",ROUND(MIN(F47,1)*12,0))&amp;REPT("░",12-ROUND(MIN(F47,1)*12,0)))</f>
        <v/>
      </c>
    </row>
    <row r="48" ht="20" customHeight="1">
      <c r="B48" s="31">
        <f>IF(Eelarve!B59="","",Eelarve!B59)</f>
        <v/>
      </c>
      <c r="C48" s="32">
        <f>IF(B48="","",N(Eelarve!C59))</f>
        <v/>
      </c>
      <c r="D48" s="32">
        <f>IF(B48="","",SUMIFS(Tehingud!$E$8:$E$407,Tehingud!$D$8:$D$407,B48,Tehingud!$B$8:$B$407,"&gt;="&amp;$K$7,Tehingud!$B$8:$B$407,"&lt;"&amp;$L$7))</f>
        <v/>
      </c>
      <c r="E48" s="32">
        <f>IF(B48="","",C48-D48)</f>
        <v/>
      </c>
      <c r="F48" s="33">
        <f>IF(OR(B48="",N(C48)=0),"",D48/C48)</f>
        <v/>
      </c>
      <c r="G48" s="34">
        <f>IF(F48="","",REPT("█",ROUND(MIN(F48,1)*12,0))&amp;REPT("░",12-ROUND(MIN(F48,1)*12,0)))</f>
        <v/>
      </c>
    </row>
    <row r="49" ht="20" customHeight="1">
      <c r="B49" s="31">
        <f>IF(Eelarve!B60="","",Eelarve!B60)</f>
        <v/>
      </c>
      <c r="C49" s="32">
        <f>IF(B49="","",N(Eelarve!C60))</f>
        <v/>
      </c>
      <c r="D49" s="32">
        <f>IF(B49="","",SUMIFS(Tehingud!$E$8:$E$407,Tehingud!$D$8:$D$407,B49,Tehingud!$B$8:$B$407,"&gt;="&amp;$K$7,Tehingud!$B$8:$B$407,"&lt;"&amp;$L$7))</f>
        <v/>
      </c>
      <c r="E49" s="32">
        <f>IF(B49="","",C49-D49)</f>
        <v/>
      </c>
      <c r="F49" s="33">
        <f>IF(OR(B49="",N(C49)=0),"",D49/C49)</f>
        <v/>
      </c>
      <c r="G49" s="34">
        <f>IF(F49="","",REPT("█",ROUND(MIN(F49,1)*12,0))&amp;REPT("░",12-ROUND(MIN(F49,1)*12,0)))</f>
        <v/>
      </c>
    </row>
    <row r="50" ht="20" customHeight="1">
      <c r="B50" s="31">
        <f>IF(Eelarve!B61="","",Eelarve!B61)</f>
        <v/>
      </c>
      <c r="C50" s="32">
        <f>IF(B50="","",N(Eelarve!C61))</f>
        <v/>
      </c>
      <c r="D50" s="32">
        <f>IF(B50="","",SUMIFS(Tehingud!$E$8:$E$407,Tehingud!$D$8:$D$407,B50,Tehingud!$B$8:$B$407,"&gt;="&amp;$K$7,Tehingud!$B$8:$B$407,"&lt;"&amp;$L$7))</f>
        <v/>
      </c>
      <c r="E50" s="32">
        <f>IF(B50="","",C50-D50)</f>
        <v/>
      </c>
      <c r="F50" s="33">
        <f>IF(OR(B50="",N(C50)=0),"",D50/C50)</f>
        <v/>
      </c>
      <c r="G50" s="34">
        <f>IF(F50="","",REPT("█",ROUND(MIN(F50,1)*12,0))&amp;REPT("░",12-ROUND(MIN(F50,1)*12,0)))</f>
        <v/>
      </c>
    </row>
    <row r="51" ht="20" customHeight="1">
      <c r="B51" s="31">
        <f>IF(Eelarve!B62="","",Eelarve!B62)</f>
        <v/>
      </c>
      <c r="C51" s="32">
        <f>IF(B51="","",N(Eelarve!C62))</f>
        <v/>
      </c>
      <c r="D51" s="32">
        <f>IF(B51="","",SUMIFS(Tehingud!$E$8:$E$407,Tehingud!$D$8:$D$407,B51,Tehingud!$B$8:$B$407,"&gt;="&amp;$K$7,Tehingud!$B$8:$B$407,"&lt;"&amp;$L$7))</f>
        <v/>
      </c>
      <c r="E51" s="32">
        <f>IF(B51="","",C51-D51)</f>
        <v/>
      </c>
      <c r="F51" s="33">
        <f>IF(OR(B51="",N(C51)=0),"",D51/C51)</f>
        <v/>
      </c>
      <c r="G51" s="34">
        <f>IF(F51="","",REPT("█",ROUND(MIN(F51,1)*12,0))&amp;REPT("░",12-ROUND(MIN(F51,1)*12,0)))</f>
        <v/>
      </c>
    </row>
    <row r="52" ht="24" customHeight="1">
      <c r="B52" s="35" t="inlineStr">
        <is>
          <t>Kokku</t>
        </is>
      </c>
      <c r="C52" s="36">
        <f>SUM(C20:C51)</f>
        <v/>
      </c>
      <c r="D52" s="36">
        <f>SUM(D20:D51)</f>
        <v/>
      </c>
      <c r="E52" s="36">
        <f>SUM(E20:E51)</f>
        <v/>
      </c>
      <c r="F52" s="37">
        <f>IF(N(C52)=0,"",D52/C52)</f>
        <v/>
      </c>
      <c r="G52" s="34">
        <f>IF(F52="","",REPT("█",ROUND(MIN(F52,1)*12,0))&amp;REPT("░",12-ROUND(MIN(F52,1)*12,0)))</f>
        <v/>
      </c>
    </row>
    <row r="54">
      <c r="B54" s="38" t="inlineStr">
        <is>
          <t>Roheline = plaani piires · kollane = üle 90 % · punane = üle plaani</t>
        </is>
      </c>
    </row>
  </sheetData>
  <mergeCells count="7">
    <mergeCell ref="E12:F12"/>
    <mergeCell ref="C12:D12"/>
    <mergeCell ref="C10:D10"/>
    <mergeCell ref="E10:F10"/>
    <mergeCell ref="C11:D11"/>
    <mergeCell ref="E11:F11"/>
    <mergeCell ref="D15:G15"/>
  </mergeCells>
  <conditionalFormatting sqref="E20:E52">
    <cfRule type="expression" priority="1" dxfId="0">
      <formula>AND(ISNUMBER(E20),E20&lt;0)</formula>
    </cfRule>
  </conditionalFormatting>
  <conditionalFormatting sqref="F20:F52">
    <cfRule type="expression" priority="2" dxfId="1" stopIfTrue="1">
      <formula>AND(ISNUMBER($F20),$F20&gt;1)</formula>
    </cfRule>
    <cfRule type="expression" priority="3" dxfId="2">
      <formula>AND(ISNUMBER($F20),$F20&gt;=0.9,$F20&lt;1)</formula>
    </cfRule>
  </conditionalFormatting>
  <conditionalFormatting sqref="G20:G52">
    <cfRule type="expression" priority="4" dxfId="1" stopIfTrue="1">
      <formula>AND(ISNUMBER($F20),$F20&gt;1)</formula>
    </cfRule>
    <cfRule type="expression" priority="5" dxfId="2">
      <formula>AND(ISNUMBER($F20),$F20&gt;=0.9,$F20&lt;1)</formula>
    </cfRule>
  </conditionalFormatting>
  <dataValidations count="1">
    <dataValidation sqref="C7" showDropDown="0" showInputMessage="0" showErrorMessage="0" allowBlank="0" type="list">
      <formula1>Seaded!$A$2:$A$13</formula1>
    </dataValidation>
  </dataValidations>
  <printOptions horizontalCentered="1"/>
  <pageMargins left="0.75" right="0.75" top="1" bottom="1" header="0.5" footer="0.5"/>
  <pageSetup orientation="portrait"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2FB344"/>
    <outlinePr summaryBelow="1" summaryRight="1"/>
    <pageSetUpPr fitToPage="1"/>
  </sheetPr>
  <dimension ref="A1:F84"/>
  <sheetViews>
    <sheetView showGridLines="0"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34" customWidth="1" min="2" max="2"/>
    <col width="15" customWidth="1" min="3" max="3"/>
    <col width="13" customWidth="1" min="4" max="4"/>
    <col width="40" customWidth="1" min="5" max="5"/>
    <col width="2" customWidth="1" min="6" max="6"/>
  </cols>
  <sheetData>
    <row r="1" ht="10" customHeight="1">
      <c r="A1" s="1" t="n"/>
      <c r="B1" s="1" t="n"/>
      <c r="C1" s="1" t="n"/>
      <c r="D1" s="1" t="n"/>
      <c r="E1" s="1" t="n"/>
      <c r="F1" s="1" t="n"/>
    </row>
    <row r="2" ht="34" customHeight="1">
      <c r="A2" s="1" t="n"/>
      <c r="B2" s="1" t="n"/>
      <c r="C2" s="1" t="n"/>
      <c r="D2" s="1" t="n"/>
      <c r="E2" s="1" t="n"/>
      <c r="F2" s="1" t="n"/>
    </row>
    <row r="3" ht="24" customHeight="1">
      <c r="A3" s="1" t="n"/>
      <c r="B3" s="2" t="inlineStr">
        <is>
          <t>Kuu eelarve (plaan)</t>
        </is>
      </c>
      <c r="C3" s="1" t="n"/>
      <c r="D3" s="1" t="n"/>
      <c r="E3" s="1" t="n"/>
      <c r="F3" s="1" t="n"/>
    </row>
    <row r="4" ht="18" customHeight="1">
      <c r="A4" s="1" t="n"/>
      <c r="B4" s="3" t="inlineStr">
        <is>
          <t>Pane paika, palju igale reale kuus läheb</t>
        </is>
      </c>
      <c r="C4" s="1" t="n"/>
      <c r="D4" s="1" t="n"/>
      <c r="E4" s="1" t="n"/>
      <c r="F4" s="1" t="n"/>
    </row>
    <row r="5" ht="10" customHeight="1">
      <c r="A5" s="1" t="n"/>
      <c r="B5" s="1" t="n"/>
      <c r="C5" s="1" t="n"/>
      <c r="D5" s="1" t="n"/>
      <c r="E5" s="1" t="n"/>
      <c r="F5" s="1" t="n"/>
    </row>
    <row r="6">
      <c r="B6" s="15" t="inlineStr">
        <is>
          <t>Täida helesinised lahtrid. Kategooriaid võid ümber nimetada ja tühjadele ridadele lisada.</t>
        </is>
      </c>
    </row>
    <row r="7" ht="26" customHeight="1">
      <c r="B7" s="27" t="inlineStr">
        <is>
          <t>TULUD</t>
        </is>
      </c>
      <c r="C7" s="28" t="n"/>
      <c r="D7" s="28" t="n"/>
      <c r="E7" s="28" t="n"/>
    </row>
    <row r="8" ht="22" customHeight="1">
      <c r="B8" s="29" t="inlineStr">
        <is>
          <t>Kategooria</t>
        </is>
      </c>
      <c r="C8" s="30" t="inlineStr">
        <is>
          <t>Kuu plaan</t>
        </is>
      </c>
      <c r="D8" s="39" t="inlineStr">
        <is>
          <t>Maksepäev</t>
        </is>
      </c>
      <c r="E8" s="29" t="inlineStr">
        <is>
          <t>Mis siia käib</t>
        </is>
      </c>
    </row>
    <row r="9">
      <c r="B9" s="40" t="inlineStr">
        <is>
          <t>Palk 1</t>
        </is>
      </c>
      <c r="C9" s="41" t="n">
        <v>1600</v>
      </c>
      <c r="D9" s="42" t="n">
        <v>10</v>
      </c>
      <c r="E9" s="43" t="inlineStr">
        <is>
          <t>netopalk, mis kontole jõuab</t>
        </is>
      </c>
    </row>
    <row r="10">
      <c r="B10" s="40" t="inlineStr">
        <is>
          <t>Palk 2</t>
        </is>
      </c>
      <c r="C10" s="41" t="n">
        <v>1300</v>
      </c>
      <c r="D10" s="42" t="n">
        <v>10</v>
      </c>
      <c r="E10" s="43" t="inlineStr">
        <is>
          <t>netopalk, mis kontole jõuab</t>
        </is>
      </c>
    </row>
    <row r="11">
      <c r="B11" s="40" t="inlineStr">
        <is>
          <t>Lapse- ja peretoetused</t>
        </is>
      </c>
      <c r="C11" s="41" t="n"/>
      <c r="D11" s="42" t="n">
        <v>20</v>
      </c>
      <c r="E11" s="43" t="inlineStr">
        <is>
          <t>lapsetoetus, lasterikka pere toetus</t>
        </is>
      </c>
    </row>
    <row r="12">
      <c r="B12" s="40" t="inlineStr">
        <is>
          <t>Vanemahüvitis</t>
        </is>
      </c>
      <c r="C12" s="41" t="n"/>
      <c r="D12" s="42" t="n"/>
      <c r="E12" s="43" t="inlineStr">
        <is>
          <t>vanemahüvitis, isapuhkuse hüvitis</t>
        </is>
      </c>
    </row>
    <row r="13">
      <c r="B13" s="40" t="inlineStr">
        <is>
          <t>Elatis</t>
        </is>
      </c>
      <c r="C13" s="41" t="n"/>
      <c r="D13" s="42" t="n"/>
      <c r="E13" s="43" t="inlineStr">
        <is>
          <t>teiselt vanemalt saadav elatis</t>
        </is>
      </c>
    </row>
    <row r="14">
      <c r="B14" s="40" t="inlineStr">
        <is>
          <t>Renditulu / investeeringud</t>
        </is>
      </c>
      <c r="C14" s="41" t="n"/>
      <c r="D14" s="42" t="n"/>
      <c r="E14" s="43" t="inlineStr">
        <is>
          <t>üür, dividendid, intressid</t>
        </is>
      </c>
    </row>
    <row r="15">
      <c r="B15" s="40" t="inlineStr">
        <is>
          <t>Muu tulu</t>
        </is>
      </c>
      <c r="C15" s="41" t="n"/>
      <c r="D15" s="42" t="n"/>
      <c r="E15" s="43" t="inlineStr">
        <is>
          <t>lisatöö, müük, kingitud raha</t>
        </is>
      </c>
    </row>
    <row r="16">
      <c r="B16" s="40" t="n"/>
      <c r="C16" s="41" t="n"/>
      <c r="D16" s="42" t="n"/>
      <c r="E16" s="43" t="n"/>
    </row>
    <row r="17">
      <c r="B17" s="40" t="n"/>
      <c r="C17" s="41" t="n"/>
      <c r="D17" s="42" t="n"/>
      <c r="E17" s="43" t="n"/>
    </row>
    <row r="18">
      <c r="B18" s="40" t="n"/>
      <c r="C18" s="41" t="n"/>
      <c r="D18" s="42" t="n"/>
      <c r="E18" s="43" t="n"/>
    </row>
    <row r="19">
      <c r="B19" s="40" t="n"/>
      <c r="C19" s="41" t="n"/>
      <c r="D19" s="42" t="n"/>
      <c r="E19" s="43" t="n"/>
    </row>
    <row r="20">
      <c r="B20" s="40" t="n"/>
      <c r="C20" s="41" t="n"/>
      <c r="D20" s="42" t="n"/>
      <c r="E20" s="43" t="n"/>
    </row>
    <row r="21">
      <c r="B21" s="40" t="n"/>
      <c r="C21" s="41" t="n"/>
      <c r="D21" s="42" t="n"/>
      <c r="E21" s="43" t="n"/>
    </row>
    <row r="22">
      <c r="B22" s="40" t="n"/>
      <c r="C22" s="41" t="n"/>
      <c r="D22" s="42" t="n"/>
      <c r="E22" s="43" t="n"/>
    </row>
    <row r="23">
      <c r="B23" s="40" t="n"/>
      <c r="C23" s="41" t="n"/>
      <c r="D23" s="42" t="n"/>
      <c r="E23" s="43" t="n"/>
    </row>
    <row r="24">
      <c r="B24" s="40" t="n"/>
      <c r="C24" s="41" t="n"/>
      <c r="D24" s="42" t="n"/>
      <c r="E24" s="43" t="n"/>
    </row>
    <row r="25">
      <c r="B25" s="40" t="n"/>
      <c r="C25" s="41" t="n"/>
      <c r="D25" s="42" t="n"/>
      <c r="E25" s="43" t="n"/>
    </row>
    <row r="26">
      <c r="B26" s="40" t="n"/>
      <c r="C26" s="41" t="n"/>
      <c r="D26" s="42" t="n"/>
      <c r="E26" s="43" t="n"/>
    </row>
    <row r="27">
      <c r="B27" s="35" t="inlineStr">
        <is>
          <t>Tulud kokku</t>
        </is>
      </c>
      <c r="C27" s="36">
        <f>SUM(C9:C26)</f>
        <v/>
      </c>
    </row>
    <row r="29" ht="26" customHeight="1">
      <c r="B29" s="27" t="inlineStr">
        <is>
          <t>KULUD</t>
        </is>
      </c>
      <c r="C29" s="28" t="n"/>
      <c r="D29" s="28" t="n"/>
      <c r="E29" s="28" t="n"/>
    </row>
    <row r="30" ht="22" customHeight="1">
      <c r="B30" s="29" t="inlineStr">
        <is>
          <t>Kategooria</t>
        </is>
      </c>
      <c r="C30" s="30" t="inlineStr">
        <is>
          <t>Kuu plaan</t>
        </is>
      </c>
      <c r="D30" s="39" t="inlineStr">
        <is>
          <t>Maksepäev</t>
        </is>
      </c>
      <c r="E30" s="29" t="inlineStr">
        <is>
          <t>Mis siia käib</t>
        </is>
      </c>
    </row>
    <row r="31">
      <c r="B31" s="40" t="inlineStr">
        <is>
          <t>Üür / kodulaen</t>
        </is>
      </c>
      <c r="C31" s="41" t="n">
        <v>650</v>
      </c>
      <c r="D31" s="42" t="n">
        <v>5</v>
      </c>
      <c r="E31" s="43" t="inlineStr">
        <is>
          <t>üür või laenumakse, ühistu remondifond</t>
        </is>
      </c>
    </row>
    <row r="32">
      <c r="B32" s="40" t="inlineStr">
        <is>
          <t>Kommunaalkulud</t>
        </is>
      </c>
      <c r="C32" s="41" t="n">
        <v>180</v>
      </c>
      <c r="D32" s="42" t="n">
        <v>15</v>
      </c>
      <c r="E32" s="43" t="inlineStr">
        <is>
          <t>küte, vesi, prügivedu, haldus</t>
        </is>
      </c>
    </row>
    <row r="33">
      <c r="B33" s="40" t="inlineStr">
        <is>
          <t>Elekter</t>
        </is>
      </c>
      <c r="C33" s="41" t="n">
        <v>70</v>
      </c>
      <c r="D33" s="42" t="n">
        <v>15</v>
      </c>
      <c r="E33" s="43" t="inlineStr">
        <is>
          <t>elektriarve</t>
        </is>
      </c>
    </row>
    <row r="34">
      <c r="B34" s="40" t="inlineStr">
        <is>
          <t>Internet, TV, mobiil</t>
        </is>
      </c>
      <c r="C34" s="41" t="n">
        <v>45</v>
      </c>
      <c r="D34" s="42" t="n">
        <v>20</v>
      </c>
      <c r="E34" s="43" t="inlineStr">
        <is>
          <t>internet, TV, telefonid</t>
        </is>
      </c>
    </row>
    <row r="35">
      <c r="B35" s="40" t="inlineStr">
        <is>
          <t>Toit ja majapidamine</t>
        </is>
      </c>
      <c r="C35" s="41" t="n">
        <v>650</v>
      </c>
      <c r="D35" s="42" t="n"/>
      <c r="E35" s="43" t="inlineStr">
        <is>
          <t>poed, kodukeemia, hügieen</t>
        </is>
      </c>
    </row>
    <row r="36">
      <c r="B36" s="40" t="inlineStr">
        <is>
          <t>Transport, kütus</t>
        </is>
      </c>
      <c r="C36" s="41" t="n">
        <v>160</v>
      </c>
      <c r="D36" s="42" t="n"/>
      <c r="E36" s="43" t="inlineStr">
        <is>
          <t>kütus, ühistransport, takso</t>
        </is>
      </c>
    </row>
    <row r="37">
      <c r="B37" s="40" t="inlineStr">
        <is>
          <t>Liising / auto</t>
        </is>
      </c>
      <c r="C37" s="41" t="n">
        <v>210</v>
      </c>
      <c r="D37" s="42" t="n">
        <v>15</v>
      </c>
      <c r="E37" s="43" t="inlineStr">
        <is>
          <t>liisingu- või autolaenu makse</t>
        </is>
      </c>
    </row>
    <row r="38">
      <c r="B38" s="40" t="inlineStr">
        <is>
          <t>Lapsed (lasteaed, huviringid)</t>
        </is>
      </c>
      <c r="C38" s="41" t="n">
        <v>150</v>
      </c>
      <c r="D38" s="42" t="n">
        <v>10</v>
      </c>
      <c r="E38" s="43" t="inlineStr">
        <is>
          <t>lasteaed, trenn, kool, taskuraha</t>
        </is>
      </c>
    </row>
    <row r="39">
      <c r="B39" s="40" t="inlineStr">
        <is>
          <t>Tervis ja apteek</t>
        </is>
      </c>
      <c r="C39" s="41" t="n">
        <v>30</v>
      </c>
      <c r="D39" s="42" t="n"/>
      <c r="E39" s="43" t="inlineStr">
        <is>
          <t>ravimid, arst, hambaarst</t>
        </is>
      </c>
    </row>
    <row r="40">
      <c r="B40" s="40" t="inlineStr">
        <is>
          <t>Riided</t>
        </is>
      </c>
      <c r="C40" s="41" t="n">
        <v>60</v>
      </c>
      <c r="D40" s="42" t="n"/>
      <c r="E40" s="43" t="inlineStr">
        <is>
          <t>riided, jalanõud</t>
        </is>
      </c>
    </row>
    <row r="41">
      <c r="B41" s="40" t="inlineStr">
        <is>
          <t>Väljas söömine ja meelelahutus</t>
        </is>
      </c>
      <c r="C41" s="41" t="n">
        <v>80</v>
      </c>
      <c r="D41" s="42" t="n"/>
      <c r="E41" s="43" t="inlineStr">
        <is>
          <t>kohvikud, Wolt/Bolt Food, kino, üritused</t>
        </is>
      </c>
    </row>
    <row r="42">
      <c r="B42" s="40" t="inlineStr">
        <is>
          <t>Tellimused (Netflix, Spotify jms)</t>
        </is>
      </c>
      <c r="C42" s="41" t="n">
        <v>25</v>
      </c>
      <c r="D42" s="42" t="n"/>
      <c r="E42" s="43" t="inlineStr">
        <is>
          <t>voogedastus, äpid, ajakirjad</t>
        </is>
      </c>
    </row>
    <row r="43">
      <c r="B43" s="40" t="inlineStr">
        <is>
          <t>Kingitused</t>
        </is>
      </c>
      <c r="C43" s="41" t="n">
        <v>20</v>
      </c>
      <c r="D43" s="42" t="n"/>
      <c r="E43" s="43" t="inlineStr">
        <is>
          <t>sünnipäevad, jõulud, annetused</t>
        </is>
      </c>
    </row>
    <row r="44">
      <c r="B44" s="40" t="inlineStr">
        <is>
          <t>Laenud ja järelmaksud</t>
        </is>
      </c>
      <c r="C44" s="41" t="n"/>
      <c r="D44" s="42" t="n"/>
      <c r="E44" s="43" t="inlineStr">
        <is>
          <t>tarbimislaen, järelmaks, krediitkaart</t>
        </is>
      </c>
    </row>
    <row r="45">
      <c r="B45" s="40" t="inlineStr">
        <is>
          <t>Muud kulud</t>
        </is>
      </c>
      <c r="C45" s="41" t="n">
        <v>20</v>
      </c>
      <c r="D45" s="42" t="n"/>
      <c r="E45" s="43" t="inlineStr">
        <is>
          <t>juuksur, pangatasud, muu</t>
        </is>
      </c>
    </row>
    <row r="46">
      <c r="B46" s="40" t="inlineStr">
        <is>
          <t>Auto hooldus ja parkimine</t>
        </is>
      </c>
      <c r="C46" s="41" t="n"/>
      <c r="D46" s="42" t="n"/>
      <c r="E46" s="43" t="inlineStr">
        <is>
          <t>rehvid, hooldus, remont, parkimine</t>
        </is>
      </c>
    </row>
    <row r="47">
      <c r="B47" s="40" t="inlineStr">
        <is>
          <t>Hobid ja sport</t>
        </is>
      </c>
      <c r="C47" s="41" t="n"/>
      <c r="D47" s="42" t="n"/>
      <c r="E47" s="43" t="inlineStr">
        <is>
          <t>jõusaal, varustus, hobid</t>
        </is>
      </c>
    </row>
    <row r="48">
      <c r="B48" s="40" t="inlineStr">
        <is>
          <t>Lemmikloom</t>
        </is>
      </c>
      <c r="C48" s="41" t="n"/>
      <c r="D48" s="42" t="n"/>
      <c r="E48" s="43" t="inlineStr">
        <is>
          <t>toit, veterinaar</t>
        </is>
      </c>
    </row>
    <row r="49">
      <c r="B49" s="40" t="inlineStr">
        <is>
          <t>Kodu ja remont</t>
        </is>
      </c>
      <c r="C49" s="41" t="n"/>
      <c r="D49" s="42" t="n"/>
      <c r="E49" s="43" t="inlineStr">
        <is>
          <t>sisustus, tööriistad, aed</t>
        </is>
      </c>
    </row>
    <row r="50">
      <c r="B50" s="40" t="inlineStr">
        <is>
          <t>Reisimine</t>
        </is>
      </c>
      <c r="C50" s="41" t="n"/>
      <c r="D50" s="42" t="n"/>
      <c r="E50" s="43" t="inlineStr">
        <is>
          <t>piletid, majutus, puhkus</t>
        </is>
      </c>
    </row>
    <row r="51">
      <c r="B51" s="40" t="n"/>
      <c r="C51" s="41" t="n"/>
      <c r="D51" s="42" t="n"/>
      <c r="E51" s="43" t="n"/>
    </row>
    <row r="52">
      <c r="B52" s="40" t="n"/>
      <c r="C52" s="41" t="n"/>
      <c r="D52" s="42" t="n"/>
      <c r="E52" s="43" t="n"/>
    </row>
    <row r="53">
      <c r="B53" s="40" t="n"/>
      <c r="C53" s="41" t="n"/>
      <c r="D53" s="42" t="n"/>
      <c r="E53" s="43" t="n"/>
    </row>
    <row r="54">
      <c r="B54" s="40" t="n"/>
      <c r="C54" s="41" t="n"/>
      <c r="D54" s="42" t="n"/>
      <c r="E54" s="43" t="n"/>
    </row>
    <row r="55">
      <c r="B55" s="40" t="n"/>
      <c r="C55" s="41" t="n"/>
      <c r="D55" s="42" t="n"/>
      <c r="E55" s="43" t="n"/>
    </row>
    <row r="56">
      <c r="B56" s="40" t="n"/>
      <c r="C56" s="41" t="n"/>
      <c r="D56" s="42" t="n"/>
      <c r="E56" s="43" t="n"/>
    </row>
    <row r="57">
      <c r="B57" s="40" t="n"/>
      <c r="C57" s="41" t="n"/>
      <c r="D57" s="42" t="n"/>
      <c r="E57" s="43" t="n"/>
    </row>
    <row r="58">
      <c r="B58" s="40" t="n"/>
      <c r="C58" s="41" t="n"/>
      <c r="D58" s="42" t="n"/>
      <c r="E58" s="43" t="n"/>
    </row>
    <row r="59">
      <c r="B59" s="40" t="n"/>
      <c r="C59" s="41" t="n"/>
      <c r="D59" s="42" t="n"/>
      <c r="E59" s="43" t="n"/>
    </row>
    <row r="60">
      <c r="B60" s="40" t="n"/>
      <c r="C60" s="41" t="n"/>
      <c r="D60" s="42" t="n"/>
      <c r="E60" s="43" t="n"/>
    </row>
    <row r="61">
      <c r="B61" s="40" t="n"/>
      <c r="C61" s="41" t="n"/>
      <c r="D61" s="42" t="n"/>
      <c r="E61" s="43" t="n"/>
    </row>
    <row r="62">
      <c r="B62" s="40" t="n"/>
      <c r="C62" s="41" t="n"/>
      <c r="D62" s="42" t="n"/>
      <c r="E62" s="43" t="n"/>
    </row>
    <row r="63">
      <c r="B63" s="35" t="inlineStr">
        <is>
          <t>Kulud kokku</t>
        </is>
      </c>
      <c r="C63" s="36">
        <f>SUM(C31:C62)</f>
        <v/>
      </c>
    </row>
    <row r="65" ht="26" customHeight="1">
      <c r="B65" s="27" t="inlineStr">
        <is>
          <t>SÄÄSTUD</t>
        </is>
      </c>
      <c r="C65" s="28" t="n"/>
      <c r="D65" s="28" t="n"/>
      <c r="E65" s="28" t="n"/>
    </row>
    <row r="66" ht="22" customHeight="1">
      <c r="B66" s="29" t="inlineStr">
        <is>
          <t>Kategooria</t>
        </is>
      </c>
      <c r="C66" s="30" t="inlineStr">
        <is>
          <t>Kuu plaan</t>
        </is>
      </c>
      <c r="D66" s="39" t="inlineStr">
        <is>
          <t>Maksepäev</t>
        </is>
      </c>
      <c r="E66" s="29" t="inlineStr">
        <is>
          <t>Mis siia käib</t>
        </is>
      </c>
    </row>
    <row r="67">
      <c r="B67" s="40" t="inlineStr">
        <is>
          <t>Turvapadi</t>
        </is>
      </c>
      <c r="C67" s="41" t="n">
        <v>150</v>
      </c>
      <c r="D67" s="42" t="n">
        <v>10</v>
      </c>
      <c r="E67" s="43" t="inlineStr">
        <is>
          <t>3–6 kuu kulud ootamatusteks</t>
        </is>
      </c>
    </row>
    <row r="68">
      <c r="B68" s="40" t="inlineStr">
        <is>
          <t>Investeerimine / III sammas</t>
        </is>
      </c>
      <c r="C68" s="41" t="n">
        <v>100</v>
      </c>
      <c r="D68" s="42" t="n">
        <v>10</v>
      </c>
      <c r="E68" s="43" t="inlineStr">
        <is>
          <t>fondid, III sammas, aktsiad</t>
        </is>
      </c>
    </row>
    <row r="69">
      <c r="B69" s="40" t="inlineStr">
        <is>
          <t>Eesmärk (reis, remont)</t>
        </is>
      </c>
      <c r="C69" s="41" t="n">
        <v>50</v>
      </c>
      <c r="D69" s="42" t="n">
        <v>10</v>
      </c>
      <c r="E69" s="43" t="inlineStr">
        <is>
          <t>kindla eesmärgi jaoks kogumine</t>
        </is>
      </c>
    </row>
    <row r="70">
      <c r="B70" s="40" t="n"/>
      <c r="C70" s="41" t="n"/>
      <c r="D70" s="42" t="n"/>
      <c r="E70" s="43" t="n"/>
    </row>
    <row r="71">
      <c r="B71" s="40" t="n"/>
      <c r="C71" s="41" t="n"/>
      <c r="D71" s="42" t="n"/>
      <c r="E71" s="43" t="n"/>
    </row>
    <row r="72">
      <c r="B72" s="40" t="n"/>
      <c r="C72" s="41" t="n"/>
      <c r="D72" s="42" t="n"/>
      <c r="E72" s="43" t="n"/>
    </row>
    <row r="73">
      <c r="B73" s="40" t="n"/>
      <c r="C73" s="41" t="n"/>
      <c r="D73" s="42" t="n"/>
      <c r="E73" s="43" t="n"/>
    </row>
    <row r="74">
      <c r="B74" s="40" t="n"/>
      <c r="C74" s="41" t="n"/>
      <c r="D74" s="42" t="n"/>
      <c r="E74" s="43" t="n"/>
    </row>
    <row r="75">
      <c r="B75" s="40" t="n"/>
      <c r="C75" s="41" t="n"/>
      <c r="D75" s="42" t="n"/>
      <c r="E75" s="43" t="n"/>
    </row>
    <row r="76">
      <c r="B76" s="40" t="n"/>
      <c r="C76" s="41" t="n"/>
      <c r="D76" s="42" t="n"/>
      <c r="E76" s="43" t="n"/>
    </row>
    <row r="77">
      <c r="B77" s="40" t="n"/>
      <c r="C77" s="41" t="n"/>
      <c r="D77" s="42" t="n"/>
      <c r="E77" s="43" t="n"/>
    </row>
    <row r="78">
      <c r="B78" s="40" t="n"/>
      <c r="C78" s="41" t="n"/>
      <c r="D78" s="42" t="n"/>
      <c r="E78" s="43" t="n"/>
    </row>
    <row r="79">
      <c r="B79" s="40" t="n"/>
      <c r="C79" s="41" t="n"/>
      <c r="D79" s="42" t="n"/>
      <c r="E79" s="43" t="n"/>
    </row>
    <row r="80">
      <c r="B80" s="40" t="n"/>
      <c r="C80" s="41" t="n"/>
      <c r="D80" s="42" t="n"/>
      <c r="E80" s="43" t="n"/>
    </row>
    <row r="81">
      <c r="B81" s="40" t="n"/>
      <c r="C81" s="41" t="n"/>
      <c r="D81" s="42" t="n"/>
      <c r="E81" s="43" t="n"/>
    </row>
    <row r="82">
      <c r="B82" s="35" t="inlineStr">
        <is>
          <t>Säästud kokku</t>
        </is>
      </c>
      <c r="C82" s="36">
        <f>SUM(C67:C81)</f>
        <v/>
      </c>
    </row>
    <row r="84" ht="26" customHeight="1">
      <c r="B84" s="44" t="inlineStr">
        <is>
          <t>Alles jääb planeeritult</t>
        </is>
      </c>
      <c r="C84" s="45">
        <f>C27-C63-C82</f>
        <v/>
      </c>
      <c r="D84" s="17" t="n"/>
      <c r="E84" s="46">
        <f>IF(C84&lt;0,"Plaan on miinuses – vähenda kulusid","Plaan on tasakaalus")</f>
        <v/>
      </c>
    </row>
  </sheetData>
  <printOptions horizontalCentered="1"/>
  <pageMargins left="0.75" right="0.75" top="1" bottom="1" header="0.5" footer="0.5"/>
  <pageSetup orientation="portrait" paperSize="9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2FB344"/>
    <outlinePr summaryBelow="1" summaryRight="1"/>
    <pageSetUpPr fitToPage="1"/>
  </sheetPr>
  <dimension ref="A1:G36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" customWidth="1" min="1" max="1"/>
    <col width="13" customWidth="1" style="47" min="2" max="2"/>
    <col width="30" customWidth="1" style="40" min="3" max="3"/>
    <col width="34" customWidth="1" style="40" min="4" max="4"/>
    <col width="14" customWidth="1" style="41" min="5" max="5"/>
    <col width="30" customWidth="1" style="40" min="6" max="6"/>
    <col width="2" customWidth="1" min="7" max="7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</row>
    <row r="2" ht="34" customHeight="1">
      <c r="A2" s="1" t="n"/>
      <c r="B2" s="1" t="n"/>
      <c r="C2" s="1" t="n"/>
      <c r="D2" s="1" t="n"/>
      <c r="E2" s="1" t="n"/>
      <c r="F2" s="1" t="n"/>
      <c r="G2" s="1" t="n"/>
    </row>
    <row r="3" ht="24" customHeight="1">
      <c r="A3" s="1" t="n"/>
      <c r="B3" s="2" t="inlineStr">
        <is>
          <t>Tehingud</t>
        </is>
      </c>
      <c r="C3" s="1" t="n"/>
      <c r="D3" s="1" t="n"/>
      <c r="E3" s="1" t="n"/>
      <c r="F3" s="1" t="n"/>
      <c r="G3" s="1" t="n"/>
    </row>
    <row r="4" ht="18" customHeight="1">
      <c r="A4" s="1" t="n"/>
      <c r="B4" s="3" t="inlineStr">
        <is>
          <t>Iga sissetulek ja väljaminek eraldi real</t>
        </is>
      </c>
      <c r="C4" s="1" t="n"/>
      <c r="D4" s="1" t="n"/>
      <c r="E4" s="1" t="n"/>
      <c r="F4" s="1" t="n"/>
      <c r="G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</row>
    <row r="6">
      <c r="B6" s="48" t="inlineStr">
        <is>
          <t>Vali kategooria rippmenüüst (punane = kategooriat pole lehel Eelarve). Näidisread võid kustutada.</t>
        </is>
      </c>
      <c r="C6" s="49" t="n"/>
      <c r="D6" s="49" t="n"/>
      <c r="E6" s="49" t="n"/>
      <c r="F6" s="49" t="n"/>
    </row>
    <row r="7" ht="22" customHeight="1">
      <c r="B7" s="39" t="inlineStr">
        <is>
          <t>Kuupäev</t>
        </is>
      </c>
      <c r="C7" s="50" t="inlineStr">
        <is>
          <t>Kirjeldus</t>
        </is>
      </c>
      <c r="D7" s="50" t="inlineStr">
        <is>
          <t>Kategooria</t>
        </is>
      </c>
      <c r="E7" s="51" t="inlineStr">
        <is>
          <t>Summa</t>
        </is>
      </c>
      <c r="F7" s="50" t="inlineStr">
        <is>
          <t>Märkus</t>
        </is>
      </c>
    </row>
    <row r="8">
      <c r="B8" s="47">
        <f>DATE(YEAR(TODAY()),MONTH(TODAY()),1)</f>
        <v/>
      </c>
      <c r="C8" s="40" t="inlineStr">
        <is>
          <t>Palk</t>
        </is>
      </c>
      <c r="D8" s="40" t="inlineStr">
        <is>
          <t>Palk 1</t>
        </is>
      </c>
      <c r="E8" s="41" t="n">
        <v>1600</v>
      </c>
      <c r="F8" s="40" t="n"/>
    </row>
    <row r="9">
      <c r="B9" s="47">
        <f>DATE(YEAR(TODAY()),MONTH(TODAY()),1)</f>
        <v/>
      </c>
      <c r="C9" s="40" t="inlineStr">
        <is>
          <t>Palk</t>
        </is>
      </c>
      <c r="D9" s="40" t="inlineStr">
        <is>
          <t>Palk 2</t>
        </is>
      </c>
      <c r="E9" s="41" t="n">
        <v>1300</v>
      </c>
      <c r="F9" s="40" t="n"/>
    </row>
    <row r="10">
      <c r="B10" s="47">
        <f>DATE(YEAR(TODAY()),MONTH(TODAY()),2)</f>
        <v/>
      </c>
      <c r="C10" s="40" t="inlineStr">
        <is>
          <t>Üür</t>
        </is>
      </c>
      <c r="D10" s="40" t="inlineStr">
        <is>
          <t>Üür / kodulaen</t>
        </is>
      </c>
      <c r="E10" s="41" t="n">
        <v>650</v>
      </c>
      <c r="F10" s="40" t="n"/>
    </row>
    <row r="11">
      <c r="B11" s="47">
        <f>DATE(YEAR(TODAY()),MONTH(TODAY()),2)</f>
        <v/>
      </c>
      <c r="C11" s="40" t="inlineStr">
        <is>
          <t>Turvapadja ülekanne</t>
        </is>
      </c>
      <c r="D11" s="40" t="inlineStr">
        <is>
          <t>Turvapadi</t>
        </is>
      </c>
      <c r="E11" s="41" t="n">
        <v>150</v>
      </c>
      <c r="F11" s="40" t="n"/>
    </row>
    <row r="12">
      <c r="B12" s="47">
        <f>DATE(YEAR(TODAY()),MONTH(TODAY()),2)</f>
        <v/>
      </c>
      <c r="C12" s="40" t="inlineStr">
        <is>
          <t>III sammas</t>
        </is>
      </c>
      <c r="D12" s="40" t="inlineStr">
        <is>
          <t>Investeerimine / III sammas</t>
        </is>
      </c>
      <c r="E12" s="41" t="n">
        <v>100</v>
      </c>
      <c r="F12" s="40" t="n"/>
    </row>
    <row r="13">
      <c r="B13" s="47">
        <f>DATE(YEAR(TODAY()),MONTH(TODAY()),2)</f>
        <v/>
      </c>
      <c r="C13" s="40" t="inlineStr">
        <is>
          <t>Reisikassa</t>
        </is>
      </c>
      <c r="D13" s="40" t="inlineStr">
        <is>
          <t>Eesmärk (reis, remont)</t>
        </is>
      </c>
      <c r="E13" s="41" t="n">
        <v>50</v>
      </c>
      <c r="F13" s="40" t="n"/>
    </row>
    <row r="14">
      <c r="B14" s="47">
        <f>DATE(YEAR(TODAY()),MONTH(TODAY()),3)</f>
        <v/>
      </c>
      <c r="C14" s="40" t="inlineStr">
        <is>
          <t>Rimi</t>
        </is>
      </c>
      <c r="D14" s="40" t="inlineStr">
        <is>
          <t>Toit ja majapidamine</t>
        </is>
      </c>
      <c r="E14" s="41" t="n">
        <v>92.34999999999999</v>
      </c>
      <c r="F14" s="40" t="n"/>
    </row>
    <row r="15">
      <c r="B15" s="47">
        <f>DATE(YEAR(TODAY()),MONTH(TODAY()),4)</f>
        <v/>
      </c>
      <c r="C15" s="40" t="inlineStr">
        <is>
          <t>Circle K</t>
        </is>
      </c>
      <c r="D15" s="40" t="inlineStr">
        <is>
          <t>Transport, kütus</t>
        </is>
      </c>
      <c r="E15" s="41" t="n">
        <v>62.4</v>
      </c>
      <c r="F15" s="40" t="n"/>
    </row>
    <row r="16">
      <c r="B16" s="47">
        <f>DATE(YEAR(TODAY()),MONTH(TODAY()),5)</f>
        <v/>
      </c>
      <c r="C16" s="40" t="inlineStr">
        <is>
          <t>Netflix</t>
        </is>
      </c>
      <c r="D16" s="40" t="inlineStr">
        <is>
          <t>Tellimused (Netflix, Spotify jms)</t>
        </is>
      </c>
      <c r="E16" s="41" t="n">
        <v>11.99</v>
      </c>
      <c r="F16" s="40" t="n"/>
    </row>
    <row r="17">
      <c r="B17" s="47">
        <f>DATE(YEAR(TODAY()),MONTH(TODAY()),5)</f>
        <v/>
      </c>
      <c r="C17" s="40" t="inlineStr">
        <is>
          <t>Spotify</t>
        </is>
      </c>
      <c r="D17" s="40" t="inlineStr">
        <is>
          <t>Tellimused (Netflix, Spotify jms)</t>
        </is>
      </c>
      <c r="E17" s="41" t="n">
        <v>11.99</v>
      </c>
      <c r="F17" s="40" t="n"/>
    </row>
    <row r="18">
      <c r="B18" s="47">
        <f>DATE(YEAR(TODAY()),MONTH(TODAY()),7)</f>
        <v/>
      </c>
      <c r="C18" s="40" t="inlineStr">
        <is>
          <t>Selver</t>
        </is>
      </c>
      <c r="D18" s="40" t="inlineStr">
        <is>
          <t>Toit ja majapidamine</t>
        </is>
      </c>
      <c r="E18" s="41" t="n">
        <v>118.6</v>
      </c>
      <c r="F18" s="40" t="n"/>
    </row>
    <row r="19">
      <c r="B19" s="47">
        <f>DATE(YEAR(TODAY()),MONTH(TODAY()),8)</f>
        <v/>
      </c>
      <c r="C19" s="40" t="inlineStr">
        <is>
          <t>Huviring</t>
        </is>
      </c>
      <c r="D19" s="40" t="inlineStr">
        <is>
          <t>Lapsed (lasteaed, huviringid)</t>
        </is>
      </c>
      <c r="E19" s="41" t="n">
        <v>45</v>
      </c>
      <c r="F19" s="40" t="n"/>
    </row>
    <row r="20">
      <c r="B20" s="47">
        <f>DATE(YEAR(TODAY()),MONTH(TODAY()),9)</f>
        <v/>
      </c>
      <c r="C20" s="40" t="inlineStr">
        <is>
          <t>Wolt</t>
        </is>
      </c>
      <c r="D20" s="40" t="inlineStr">
        <is>
          <t>Väljas söömine ja meelelahutus</t>
        </is>
      </c>
      <c r="E20" s="41" t="n">
        <v>59.4</v>
      </c>
      <c r="F20" s="40" t="n"/>
    </row>
    <row r="21">
      <c r="B21" s="47">
        <f>DATE(YEAR(TODAY()),MONTH(TODAY()),10)</f>
        <v/>
      </c>
      <c r="C21" s="40" t="inlineStr">
        <is>
          <t>Lasteaed</t>
        </is>
      </c>
      <c r="D21" s="40" t="inlineStr">
        <is>
          <t>Lapsed (lasteaed, huviringid)</t>
        </is>
      </c>
      <c r="E21" s="41" t="n">
        <v>85</v>
      </c>
      <c r="F21" s="40" t="n"/>
    </row>
    <row r="22">
      <c r="B22" s="47">
        <f>DATE(YEAR(TODAY()),MONTH(TODAY()),11)</f>
        <v/>
      </c>
      <c r="C22" s="40" t="inlineStr">
        <is>
          <t>Prisma</t>
        </is>
      </c>
      <c r="D22" s="40" t="inlineStr">
        <is>
          <t>Toit ja majapidamine</t>
        </is>
      </c>
      <c r="E22" s="41" t="n">
        <v>134.1</v>
      </c>
      <c r="F22" s="40" t="n"/>
    </row>
    <row r="23">
      <c r="B23" s="47">
        <f>DATE(YEAR(TODAY()),MONTH(TODAY()),12)</f>
        <v/>
      </c>
      <c r="C23" s="40" t="inlineStr">
        <is>
          <t>Apteek</t>
        </is>
      </c>
      <c r="D23" s="40" t="inlineStr">
        <is>
          <t>Tervis ja apteek</t>
        </is>
      </c>
      <c r="E23" s="41" t="n">
        <v>14.5</v>
      </c>
      <c r="F23" s="40" t="n"/>
    </row>
    <row r="24">
      <c r="B24" s="47">
        <f>DATE(YEAR(TODAY()),MONTH(TODAY()),14)</f>
        <v/>
      </c>
      <c r="C24" s="40" t="inlineStr">
        <is>
          <t>Lidl</t>
        </is>
      </c>
      <c r="D24" s="40" t="inlineStr">
        <is>
          <t>Toit ja majapidamine</t>
        </is>
      </c>
      <c r="E24" s="41" t="n">
        <v>76.8</v>
      </c>
      <c r="F24" s="40" t="n"/>
    </row>
    <row r="25">
      <c r="B25" s="47">
        <f>DATE(YEAR(TODAY()),MONTH(TODAY()),15)</f>
        <v/>
      </c>
      <c r="C25" s="40" t="inlineStr">
        <is>
          <t>Liisingumakse</t>
        </is>
      </c>
      <c r="D25" s="40" t="inlineStr">
        <is>
          <t>Liising / auto</t>
        </is>
      </c>
      <c r="E25" s="41" t="n">
        <v>210</v>
      </c>
      <c r="F25" s="40" t="n"/>
    </row>
    <row r="26">
      <c r="B26" s="47">
        <f>DATE(YEAR(TODAY()),MONTH(TODAY()),15)</f>
        <v/>
      </c>
      <c r="C26" s="40" t="inlineStr">
        <is>
          <t>Kommunaalarve</t>
        </is>
      </c>
      <c r="D26" s="40" t="inlineStr">
        <is>
          <t>Kommunaalkulud</t>
        </is>
      </c>
      <c r="E26" s="41" t="n">
        <v>176.4</v>
      </c>
      <c r="F26" s="40" t="n"/>
    </row>
    <row r="27">
      <c r="B27" s="47">
        <f>DATE(YEAR(TODAY()),MONTH(TODAY()),15)</f>
        <v/>
      </c>
      <c r="C27" s="40" t="inlineStr">
        <is>
          <t>Elektriarve</t>
        </is>
      </c>
      <c r="D27" s="40" t="inlineStr">
        <is>
          <t>Elekter</t>
        </is>
      </c>
      <c r="E27" s="41" t="n">
        <v>64.2</v>
      </c>
      <c r="F27" s="40" t="n"/>
    </row>
    <row r="28">
      <c r="B28" s="47">
        <f>DATE(YEAR(TODAY()),MONTH(TODAY()),16)</f>
        <v/>
      </c>
      <c r="C28" s="40" t="inlineStr">
        <is>
          <t>Kino</t>
        </is>
      </c>
      <c r="D28" s="40" t="inlineStr">
        <is>
          <t>Väljas söömine ja meelelahutus</t>
        </is>
      </c>
      <c r="E28" s="41" t="n">
        <v>32</v>
      </c>
      <c r="F28" s="40" t="n"/>
    </row>
    <row r="29">
      <c r="B29" s="47">
        <f>DATE(YEAR(TODAY()),MONTH(TODAY()),18)</f>
        <v/>
      </c>
      <c r="C29" s="40" t="inlineStr">
        <is>
          <t>Rimi</t>
        </is>
      </c>
      <c r="D29" s="40" t="inlineStr">
        <is>
          <t>Toit ja majapidamine</t>
        </is>
      </c>
      <c r="E29" s="41" t="n">
        <v>101.25</v>
      </c>
      <c r="F29" s="40" t="n"/>
    </row>
    <row r="30">
      <c r="B30" s="47">
        <f>DATE(YEAR(TODAY()),MONTH(TODAY()),19)</f>
        <v/>
      </c>
      <c r="C30" s="40" t="inlineStr">
        <is>
          <t>Olerex</t>
        </is>
      </c>
      <c r="D30" s="40" t="inlineStr">
        <is>
          <t>Transport, kütus</t>
        </is>
      </c>
      <c r="E30" s="41" t="n">
        <v>55.1</v>
      </c>
      <c r="F30" s="40" t="n"/>
    </row>
    <row r="31">
      <c r="B31" s="47">
        <f>DATE(YEAR(TODAY()),MONTH(TODAY()),20)</f>
        <v/>
      </c>
      <c r="C31" s="40" t="inlineStr">
        <is>
          <t>Telia</t>
        </is>
      </c>
      <c r="D31" s="40" t="inlineStr">
        <is>
          <t>Internet, TV, mobiil</t>
        </is>
      </c>
      <c r="E31" s="41" t="n">
        <v>45</v>
      </c>
      <c r="F31" s="40" t="n"/>
    </row>
    <row r="32">
      <c r="B32" s="47">
        <f>DATE(YEAR(TODAY()),MONTH(TODAY()),21)</f>
        <v/>
      </c>
      <c r="C32" s="40" t="inlineStr">
        <is>
          <t>Lapse talvemüts</t>
        </is>
      </c>
      <c r="D32" s="40" t="inlineStr">
        <is>
          <t>Riided</t>
        </is>
      </c>
      <c r="E32" s="41" t="n">
        <v>39.99</v>
      </c>
      <c r="F32" s="40" t="n"/>
    </row>
    <row r="33">
      <c r="B33" s="47">
        <f>DATE(YEAR(TODAY()),MONTH(TODAY()),22)</f>
        <v/>
      </c>
      <c r="C33" s="40" t="inlineStr">
        <is>
          <t>Maxima</t>
        </is>
      </c>
      <c r="D33" s="40" t="inlineStr">
        <is>
          <t>Toit ja majapidamine</t>
        </is>
      </c>
      <c r="E33" s="41" t="n">
        <v>58.9</v>
      </c>
      <c r="F33" s="40" t="n"/>
    </row>
    <row r="34">
      <c r="B34" s="47">
        <f>DATE(YEAR(TODAY()),MONTH(TODAY()),24)</f>
        <v/>
      </c>
      <c r="C34" s="40" t="inlineStr">
        <is>
          <t>Restoran</t>
        </is>
      </c>
      <c r="D34" s="40" t="inlineStr">
        <is>
          <t>Väljas söömine ja meelelahutus</t>
        </is>
      </c>
      <c r="E34" s="41" t="n">
        <v>48.6</v>
      </c>
      <c r="F34" s="40" t="n"/>
    </row>
    <row r="35">
      <c r="B35" s="47">
        <f>DATE(YEAR(TODAY()),MONTH(TODAY()),26)</f>
        <v/>
      </c>
      <c r="C35" s="40" t="inlineStr">
        <is>
          <t>Bussikaart</t>
        </is>
      </c>
      <c r="D35" s="40" t="inlineStr">
        <is>
          <t>Transport, kütus</t>
        </is>
      </c>
      <c r="E35" s="41" t="n">
        <v>30</v>
      </c>
      <c r="F35" s="40" t="n"/>
    </row>
    <row r="36">
      <c r="B36" s="47">
        <f>DATE(YEAR(TODAY()),MONTH(TODAY()),27)</f>
        <v/>
      </c>
      <c r="C36" s="40" t="inlineStr">
        <is>
          <t>Selver</t>
        </is>
      </c>
      <c r="D36" s="40" t="inlineStr">
        <is>
          <t>Toit ja majapidamine</t>
        </is>
      </c>
      <c r="E36" s="41" t="n">
        <v>158</v>
      </c>
      <c r="F36" s="40" t="n"/>
    </row>
  </sheetData>
  <conditionalFormatting sqref="D8:D407">
    <cfRule type="expression" priority="1" dxfId="0">
      <formula>AND(D8&lt;&gt;"",COUNTIF(Seaded!$D$2:$D$66,D8)=0)</formula>
    </cfRule>
  </conditionalFormatting>
  <dataValidations count="2">
    <dataValidation sqref="D8:D407" showDropDown="0" showInputMessage="0" showErrorMessage="0" allowBlank="1" errorTitle="Tundmatu kategooria" error="Vali kategooria nimekirjast või lisa see lehele Eelarve." type="list">
      <formula1>Seaded!$D$2:$D$66</formula1>
    </dataValidation>
    <dataValidation sqref="B8:B407" showDropDown="0" showInputMessage="0" showErrorMessage="1" allowBlank="1" error="Sisesta kuupäev, nt 05.11.2026" type="date" operator="greaterThan">
      <formula1>36526</formula1>
    </dataValidation>
  </dataValidations>
  <printOptions horizontalCentered="1"/>
  <pageMargins left="0.75" right="0.75" top="1" bottom="1" header="0.5" footer="0.5"/>
  <pageSetup orientation="portrait" paperSize="9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8D96AD"/>
    <outlinePr summaryBelow="1" summaryRight="1"/>
    <pageSetUpPr fitToPage="1"/>
  </sheetPr>
  <dimension ref="A1:I17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13" customWidth="1" min="4" max="4"/>
    <col width="13" customWidth="1" min="5" max="5"/>
    <col width="10" customWidth="1" min="6" max="6"/>
    <col width="22" customWidth="1" min="7" max="7"/>
    <col width="16" customWidth="1" min="8" max="8"/>
    <col width="2" customWidth="1" min="9" max="9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34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 ht="24" customHeight="1">
      <c r="A3" s="1" t="n"/>
      <c r="B3" s="2" t="inlineStr">
        <is>
          <t>Säästueesmärgid</t>
        </is>
      </c>
      <c r="C3" s="1" t="n"/>
      <c r="D3" s="1" t="n"/>
      <c r="E3" s="1" t="n"/>
      <c r="F3" s="1" t="n"/>
      <c r="G3" s="1" t="n"/>
      <c r="H3" s="1" t="n"/>
      <c r="I3" s="1" t="n"/>
    </row>
    <row r="4" ht="18" customHeight="1">
      <c r="A4" s="1" t="n"/>
      <c r="B4" s="3" t="inlineStr">
        <is>
          <t>Näed, kui kaugel oled ja palju kuus veel vaja</t>
        </is>
      </c>
      <c r="C4" s="1" t="n"/>
      <c r="D4" s="1" t="n"/>
      <c r="E4" s="1" t="n"/>
      <c r="F4" s="1" t="n"/>
      <c r="G4" s="1" t="n"/>
      <c r="H4" s="1" t="n"/>
      <c r="I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</row>
    <row r="7" ht="22" customHeight="1">
      <c r="B7" s="29" t="inlineStr">
        <is>
          <t>Eesmärk</t>
        </is>
      </c>
      <c r="C7" s="30" t="inlineStr">
        <is>
          <t>Siht</t>
        </is>
      </c>
      <c r="D7" s="30" t="inlineStr">
        <is>
          <t>Kogutud</t>
        </is>
      </c>
      <c r="E7" s="39" t="inlineStr">
        <is>
          <t>Tähtaeg</t>
        </is>
      </c>
      <c r="F7" s="30" t="inlineStr">
        <is>
          <t>Valmis</t>
        </is>
      </c>
      <c r="G7" s="30" t="inlineStr"/>
      <c r="H7" s="30" t="inlineStr">
        <is>
          <t>Kuus vaja</t>
        </is>
      </c>
    </row>
    <row r="8" ht="22" customHeight="1">
      <c r="B8" s="40" t="inlineStr">
        <is>
          <t>Turvapadi (3 kuu kulud)</t>
        </is>
      </c>
      <c r="C8" s="52" t="n">
        <v>7000</v>
      </c>
      <c r="D8" s="52" t="n">
        <v>2400</v>
      </c>
      <c r="E8" s="53" t="n"/>
      <c r="F8" s="33">
        <f>IF(N(C8)=0,"",D8/C8)</f>
        <v/>
      </c>
      <c r="G8" s="34">
        <f>IF(F8="","",REPT("█",ROUND(MIN(F8,1)*12,0))&amp;REPT("░",12-ROUND(MIN(F8,1)*12,0)))</f>
        <v/>
      </c>
      <c r="H8" s="54">
        <f>IF(OR(N(C8)=0,E8=""),"",MAX(0,(C8-D8)/MAX(1,(YEAR(E8)-YEAR(TODAY()))*12+MONTH(E8)-MONTH(TODAY()))))</f>
        <v/>
      </c>
    </row>
    <row r="9" ht="22" customHeight="1">
      <c r="B9" s="40" t="inlineStr">
        <is>
          <t>Suvereis</t>
        </is>
      </c>
      <c r="C9" s="52" t="n">
        <v>1500</v>
      </c>
      <c r="D9" s="52" t="n">
        <v>450</v>
      </c>
      <c r="E9" s="53" t="n">
        <v>46539</v>
      </c>
      <c r="F9" s="33">
        <f>IF(N(C9)=0,"",D9/C9)</f>
        <v/>
      </c>
      <c r="G9" s="34">
        <f>IF(F9="","",REPT("█",ROUND(MIN(F9,1)*12,0))&amp;REPT("░",12-ROUND(MIN(F9,1)*12,0)))</f>
        <v/>
      </c>
      <c r="H9" s="54">
        <f>IF(OR(N(C9)=0,E9=""),"",MAX(0,(C9-D9)/MAX(1,(YEAR(E9)-YEAR(TODAY()))*12+MONTH(E9)-MONTH(TODAY()))))</f>
        <v/>
      </c>
    </row>
    <row r="10" ht="22" customHeight="1">
      <c r="B10" s="40" t="inlineStr">
        <is>
          <t>Uus pesumasin</t>
        </is>
      </c>
      <c r="C10" s="52" t="n">
        <v>600</v>
      </c>
      <c r="D10" s="52" t="n">
        <v>150</v>
      </c>
      <c r="E10" s="53" t="n">
        <v>46419</v>
      </c>
      <c r="F10" s="33">
        <f>IF(N(C10)=0,"",D10/C10)</f>
        <v/>
      </c>
      <c r="G10" s="34">
        <f>IF(F10="","",REPT("█",ROUND(MIN(F10,1)*12,0))&amp;REPT("░",12-ROUND(MIN(F10,1)*12,0)))</f>
        <v/>
      </c>
      <c r="H10" s="54">
        <f>IF(OR(N(C10)=0,E10=""),"",MAX(0,(C10-D10)/MAX(1,(YEAR(E10)-YEAR(TODAY()))*12+MONTH(E10)-MONTH(TODAY()))))</f>
        <v/>
      </c>
    </row>
    <row r="11" ht="22" customHeight="1">
      <c r="B11" s="40" t="n"/>
      <c r="C11" s="52" t="n"/>
      <c r="D11" s="52" t="n"/>
      <c r="E11" s="53" t="n"/>
      <c r="F11" s="33">
        <f>IF(N(C11)=0,"",D11/C11)</f>
        <v/>
      </c>
      <c r="G11" s="34">
        <f>IF(F11="","",REPT("█",ROUND(MIN(F11,1)*12,0))&amp;REPT("░",12-ROUND(MIN(F11,1)*12,0)))</f>
        <v/>
      </c>
      <c r="H11" s="54">
        <f>IF(OR(N(C11)=0,E11=""),"",MAX(0,(C11-D11)/MAX(1,(YEAR(E11)-YEAR(TODAY()))*12+MONTH(E11)-MONTH(TODAY()))))</f>
        <v/>
      </c>
    </row>
    <row r="12" ht="22" customHeight="1">
      <c r="B12" s="40" t="n"/>
      <c r="C12" s="52" t="n"/>
      <c r="D12" s="52" t="n"/>
      <c r="E12" s="53" t="n"/>
      <c r="F12" s="33">
        <f>IF(N(C12)=0,"",D12/C12)</f>
        <v/>
      </c>
      <c r="G12" s="34">
        <f>IF(F12="","",REPT("█",ROUND(MIN(F12,1)*12,0))&amp;REPT("░",12-ROUND(MIN(F12,1)*12,0)))</f>
        <v/>
      </c>
      <c r="H12" s="54">
        <f>IF(OR(N(C12)=0,E12=""),"",MAX(0,(C12-D12)/MAX(1,(YEAR(E12)-YEAR(TODAY()))*12+MONTH(E12)-MONTH(TODAY()))))</f>
        <v/>
      </c>
    </row>
    <row r="13" ht="22" customHeight="1">
      <c r="B13" s="40" t="n"/>
      <c r="C13" s="52" t="n"/>
      <c r="D13" s="52" t="n"/>
      <c r="E13" s="53" t="n"/>
      <c r="F13" s="33">
        <f>IF(N(C13)=0,"",D13/C13)</f>
        <v/>
      </c>
      <c r="G13" s="34">
        <f>IF(F13="","",REPT("█",ROUND(MIN(F13,1)*12,0))&amp;REPT("░",12-ROUND(MIN(F13,1)*12,0)))</f>
        <v/>
      </c>
      <c r="H13" s="54">
        <f>IF(OR(N(C13)=0,E13=""),"",MAX(0,(C13-D13)/MAX(1,(YEAR(E13)-YEAR(TODAY()))*12+MONTH(E13)-MONTH(TODAY()))))</f>
        <v/>
      </c>
    </row>
    <row r="14" ht="22" customHeight="1">
      <c r="B14" s="40" t="n"/>
      <c r="C14" s="52" t="n"/>
      <c r="D14" s="52" t="n"/>
      <c r="E14" s="53" t="n"/>
      <c r="F14" s="33">
        <f>IF(N(C14)=0,"",D14/C14)</f>
        <v/>
      </c>
      <c r="G14" s="34">
        <f>IF(F14="","",REPT("█",ROUND(MIN(F14,1)*12,0))&amp;REPT("░",12-ROUND(MIN(F14,1)*12,0)))</f>
        <v/>
      </c>
      <c r="H14" s="54">
        <f>IF(OR(N(C14)=0,E14=""),"",MAX(0,(C14-D14)/MAX(1,(YEAR(E14)-YEAR(TODAY()))*12+MONTH(E14)-MONTH(TODAY()))))</f>
        <v/>
      </c>
    </row>
    <row r="15" ht="22" customHeight="1">
      <c r="B15" s="40" t="n"/>
      <c r="C15" s="52" t="n"/>
      <c r="D15" s="52" t="n"/>
      <c r="E15" s="53" t="n"/>
      <c r="F15" s="33">
        <f>IF(N(C15)=0,"",D15/C15)</f>
        <v/>
      </c>
      <c r="G15" s="34">
        <f>IF(F15="","",REPT("█",ROUND(MIN(F15,1)*12,0))&amp;REPT("░",12-ROUND(MIN(F15,1)*12,0)))</f>
        <v/>
      </c>
      <c r="H15" s="54">
        <f>IF(OR(N(C15)=0,E15=""),"",MAX(0,(C15-D15)/MAX(1,(YEAR(E15)-YEAR(TODAY()))*12+MONTH(E15)-MONTH(TODAY()))))</f>
        <v/>
      </c>
    </row>
    <row r="17">
      <c r="B17" s="38" t="inlineStr">
        <is>
          <t>Kuus vaja = puuduolev summa jagatud kuudega tähtajani. Tähtajata eesmärgil jääb tühjaks.</t>
        </is>
      </c>
    </row>
  </sheetData>
  <printOptions horizontalCentered="1"/>
  <pageMargins left="0.75" right="0.75" top="1" bottom="1" header="0.5" footer="0.5"/>
  <pageSetup orientation="portrait" paperSize="9" fitToHeight="0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8D96AD"/>
    <outlinePr summaryBelow="1" summaryRight="1"/>
    <pageSetUpPr fitToPage="1"/>
  </sheetPr>
  <dimension ref="A1:J17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13" customWidth="1" min="3" max="3"/>
    <col width="12" customWidth="1" min="4" max="4"/>
    <col width="13" customWidth="1" min="5" max="5"/>
    <col width="12" customWidth="1" min="6" max="6"/>
    <col width="13" customWidth="1" min="7" max="7"/>
    <col width="16" customWidth="1" min="8" max="8"/>
    <col width="2" customWidth="1" min="9" max="9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4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24" customHeight="1">
      <c r="A3" s="1" t="n"/>
      <c r="B3" s="2" t="inlineStr">
        <is>
          <t>Laenud ja järelmaksud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18" customHeight="1">
      <c r="A4" s="1" t="n"/>
      <c r="B4" s="3" t="inlineStr">
        <is>
          <t>Millal laen läbi saab ja palju intressi veel maksad</t>
        </is>
      </c>
      <c r="C4" s="1" t="n"/>
      <c r="D4" s="1" t="n"/>
      <c r="E4" s="1" t="n"/>
      <c r="F4" s="1" t="n"/>
      <c r="G4" s="1" t="n"/>
      <c r="H4" s="1" t="n"/>
      <c r="I4" s="1" t="n"/>
      <c r="J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</row>
    <row r="7" ht="22" customHeight="1">
      <c r="B7" s="29" t="inlineStr">
        <is>
          <t>Laen</t>
        </is>
      </c>
      <c r="C7" s="30" t="inlineStr">
        <is>
          <t>Jääk</t>
        </is>
      </c>
      <c r="D7" s="30" t="inlineStr">
        <is>
          <t>Intress (a)</t>
        </is>
      </c>
      <c r="E7" s="30" t="inlineStr">
        <is>
          <t>Kuumakse</t>
        </is>
      </c>
      <c r="F7" s="39" t="inlineStr">
        <is>
          <t>Kuid jäänud</t>
        </is>
      </c>
      <c r="G7" s="39" t="inlineStr">
        <is>
          <t>Lõpeb</t>
        </is>
      </c>
      <c r="H7" s="30" t="inlineStr">
        <is>
          <t>Intressi veel</t>
        </is>
      </c>
    </row>
    <row r="8" ht="22" customHeight="1">
      <c r="B8" s="40" t="inlineStr">
        <is>
          <t>Autoliising</t>
        </is>
      </c>
      <c r="C8" s="52" t="n">
        <v>8500</v>
      </c>
      <c r="D8" s="55" t="n">
        <v>0.059</v>
      </c>
      <c r="E8" s="41" t="n">
        <v>210</v>
      </c>
      <c r="F8" s="56">
        <f>IF(OR(N(C8)=0,N(E8)=0),"",IF(N(D8)=0,ROUNDUP(C8/E8,0),IFERROR(ROUNDUP(NPER(D8/12,-E8,C8),0),"makse liiga väike")))</f>
        <v/>
      </c>
      <c r="G8" s="57">
        <f>IF(ISNUMBER(F8),EDATE(TODAY(),F8),"")</f>
        <v/>
      </c>
      <c r="H8" s="58">
        <f>IF(ISNUMBER(F8),MAX(0,E8*F8-C8),"")</f>
        <v/>
      </c>
    </row>
    <row r="9" ht="22" customHeight="1">
      <c r="B9" s="40" t="inlineStr">
        <is>
          <t>Järelmaks (telefon)</t>
        </is>
      </c>
      <c r="C9" s="52" t="n">
        <v>480</v>
      </c>
      <c r="D9" s="55" t="n">
        <v>0</v>
      </c>
      <c r="E9" s="41" t="n">
        <v>40</v>
      </c>
      <c r="F9" s="56">
        <f>IF(OR(N(C9)=0,N(E9)=0),"",IF(N(D9)=0,ROUNDUP(C9/E9,0),IFERROR(ROUNDUP(NPER(D9/12,-E9,C9),0),"makse liiga väike")))</f>
        <v/>
      </c>
      <c r="G9" s="57">
        <f>IF(ISNUMBER(F9),EDATE(TODAY(),F9),"")</f>
        <v/>
      </c>
      <c r="H9" s="58">
        <f>IF(ISNUMBER(F9),MAX(0,E9*F9-C9),"")</f>
        <v/>
      </c>
    </row>
    <row r="10" ht="22" customHeight="1">
      <c r="B10" s="40" t="n"/>
      <c r="C10" s="52" t="n"/>
      <c r="D10" s="55" t="n"/>
      <c r="E10" s="41" t="n"/>
      <c r="F10" s="56">
        <f>IF(OR(N(C10)=0,N(E10)=0),"",IF(N(D10)=0,ROUNDUP(C10/E10,0),IFERROR(ROUNDUP(NPER(D10/12,-E10,C10),0),"makse liiga väike")))</f>
        <v/>
      </c>
      <c r="G10" s="57">
        <f>IF(ISNUMBER(F10),EDATE(TODAY(),F10),"")</f>
        <v/>
      </c>
      <c r="H10" s="58">
        <f>IF(ISNUMBER(F10),MAX(0,E10*F10-C10),"")</f>
        <v/>
      </c>
    </row>
    <row r="11" ht="22" customHeight="1">
      <c r="B11" s="40" t="n"/>
      <c r="C11" s="52" t="n"/>
      <c r="D11" s="55" t="n"/>
      <c r="E11" s="41" t="n"/>
      <c r="F11" s="56">
        <f>IF(OR(N(C11)=0,N(E11)=0),"",IF(N(D11)=0,ROUNDUP(C11/E11,0),IFERROR(ROUNDUP(NPER(D11/12,-E11,C11),0),"makse liiga väike")))</f>
        <v/>
      </c>
      <c r="G11" s="57">
        <f>IF(ISNUMBER(F11),EDATE(TODAY(),F11),"")</f>
        <v/>
      </c>
      <c r="H11" s="58">
        <f>IF(ISNUMBER(F11),MAX(0,E11*F11-C11),"")</f>
        <v/>
      </c>
    </row>
    <row r="12" ht="22" customHeight="1">
      <c r="B12" s="40" t="n"/>
      <c r="C12" s="52" t="n"/>
      <c r="D12" s="55" t="n"/>
      <c r="E12" s="41" t="n"/>
      <c r="F12" s="56">
        <f>IF(OR(N(C12)=0,N(E12)=0),"",IF(N(D12)=0,ROUNDUP(C12/E12,0),IFERROR(ROUNDUP(NPER(D12/12,-E12,C12),0),"makse liiga väike")))</f>
        <v/>
      </c>
      <c r="G12" s="57">
        <f>IF(ISNUMBER(F12),EDATE(TODAY(),F12),"")</f>
        <v/>
      </c>
      <c r="H12" s="58">
        <f>IF(ISNUMBER(F12),MAX(0,E12*F12-C12),"")</f>
        <v/>
      </c>
    </row>
    <row r="13" ht="22" customHeight="1">
      <c r="B13" s="40" t="n"/>
      <c r="C13" s="52" t="n"/>
      <c r="D13" s="55" t="n"/>
      <c r="E13" s="41" t="n"/>
      <c r="F13" s="56">
        <f>IF(OR(N(C13)=0,N(E13)=0),"",IF(N(D13)=0,ROUNDUP(C13/E13,0),IFERROR(ROUNDUP(NPER(D13/12,-E13,C13),0),"makse liiga väike")))</f>
        <v/>
      </c>
      <c r="G13" s="57">
        <f>IF(ISNUMBER(F13),EDATE(TODAY(),F13),"")</f>
        <v/>
      </c>
      <c r="H13" s="58">
        <f>IF(ISNUMBER(F13),MAX(0,E13*F13-C13),"")</f>
        <v/>
      </c>
    </row>
    <row r="14" ht="24" customHeight="1">
      <c r="B14" s="35" t="inlineStr">
        <is>
          <t>Kokku</t>
        </is>
      </c>
      <c r="C14" s="54">
        <f>SUM(C8:C13)</f>
        <v/>
      </c>
      <c r="E14" s="36">
        <f>SUM(E8:E13)</f>
        <v/>
      </c>
      <c r="H14" s="54">
        <f>SUM(H8:H13)</f>
        <v/>
      </c>
    </row>
    <row r="16" ht="18" customHeight="1">
      <c r="B16" s="59" t="inlineStr">
        <is>
          <t>Arvutus on ligikaudne (püsiv intress ja kuumakse). Täpse graafiku annab pank. Kui tahad laenu kiiremini maksta, proovi kuumakset suurendada ja vaata, kuidas 'Kuid jäänud' muutub.</t>
        </is>
      </c>
    </row>
    <row r="17"/>
  </sheetData>
  <mergeCells count="1">
    <mergeCell ref="B16:H17"/>
  </mergeCells>
  <printOptions horizontalCentered="1"/>
  <pageMargins left="0.75" right="0.75" top="1" bottom="1" header="0.5" footer="0.5"/>
  <pageSetup orientation="portrait" paperSize="9" fitToHeight="0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1A2234"/>
    <outlinePr summaryBelow="1" summaryRight="1"/>
    <pageSetUpPr fitToPage="1"/>
  </sheetPr>
  <dimension ref="A1:R6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2" customWidth="1" min="18" max="18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4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 ht="24" customHeight="1">
      <c r="A3" s="1" t="n"/>
      <c r="B3" s="2" t="inlineStr">
        <is>
          <t>Aasta ülevaade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</row>
    <row r="4" ht="18" customHeight="1">
      <c r="A4" s="1" t="n"/>
      <c r="B4" s="3" t="inlineStr">
        <is>
          <t>12 kuud tehingute põhjal, arvutub ise</t>
        </is>
      </c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</row>
    <row r="7">
      <c r="B7" s="12" t="inlineStr">
        <is>
          <t>Aasta:</t>
        </is>
      </c>
      <c r="C7" s="42">
        <f>Ülevaade!D7</f>
        <v/>
      </c>
    </row>
    <row r="9" ht="22" customHeight="1">
      <c r="B9" s="29" t="inlineStr">
        <is>
          <t>Kuu</t>
        </is>
      </c>
      <c r="C9" s="30" t="inlineStr">
        <is>
          <t>Tulud</t>
        </is>
      </c>
      <c r="D9" s="30" t="inlineStr">
        <is>
          <t>Kulud</t>
        </is>
      </c>
      <c r="E9" s="30" t="inlineStr">
        <is>
          <t>Säästud</t>
        </is>
      </c>
      <c r="F9" s="30" t="inlineStr">
        <is>
          <t>Alles jäi</t>
        </is>
      </c>
      <c r="G9" s="30" t="inlineStr">
        <is>
          <t>Säästumäär</t>
        </is>
      </c>
      <c r="H9" s="30" t="inlineStr"/>
    </row>
    <row r="10" ht="20" customHeight="1">
      <c r="B10" s="31" t="inlineStr">
        <is>
          <t>jaanuar</t>
        </is>
      </c>
      <c r="C10" s="58">
        <f>SUMPRODUCT(ISNUMBER(MATCH(Tehingud!$D$8:$D$407,Eelarve!$B$9:$B$26,0))*(Tehingud!$B$8:$B$407&gt;=DATE($C$7,1,1))*(Tehingud!$B$8:$B$407&lt;DATE($C$7,2,1))*(Tehingud!$D$8:$D$407&lt;&gt;""),Tehingud!$E$8:$E$407)</f>
        <v/>
      </c>
      <c r="D10" s="58">
        <f>SUMPRODUCT(ISNUMBER(MATCH(Tehingud!$D$8:$D$407,Eelarve!$B$31:$B$62,0))*(Tehingud!$B$8:$B$407&gt;=DATE($C$7,1,1))*(Tehingud!$B$8:$B$407&lt;DATE($C$7,2,1))*(Tehingud!$D$8:$D$407&lt;&gt;""),Tehingud!$E$8:$E$407)</f>
        <v/>
      </c>
      <c r="E10" s="58">
        <f>SUMPRODUCT(ISNUMBER(MATCH(Tehingud!$D$8:$D$407,Eelarve!$B$67:$B$81,0))*(Tehingud!$B$8:$B$407&gt;=DATE($C$7,1,1))*(Tehingud!$B$8:$B$407&lt;DATE($C$7,2,1))*(Tehingud!$D$8:$D$407&lt;&gt;""),Tehingud!$E$8:$E$407)</f>
        <v/>
      </c>
      <c r="F10" s="54">
        <f>C10-D10-E10</f>
        <v/>
      </c>
      <c r="G10" s="33">
        <f>IF(N(C10)=0,"",E10/C10)</f>
        <v/>
      </c>
      <c r="H10" s="34">
        <f>IF(G10="","",REPT("█",ROUND(MIN(G10/0.2,1)*8,0))&amp;REPT("░",8-ROUND(MIN(G10/0.2,1)*8,0)))</f>
        <v/>
      </c>
    </row>
    <row r="11" ht="20" customHeight="1">
      <c r="B11" s="31" t="inlineStr">
        <is>
          <t>veebruar</t>
        </is>
      </c>
      <c r="C11" s="58">
        <f>SUMPRODUCT(ISNUMBER(MATCH(Tehingud!$D$8:$D$407,Eelarve!$B$9:$B$26,0))*(Tehingud!$B$8:$B$407&gt;=DATE($C$7,2,1))*(Tehingud!$B$8:$B$407&lt;DATE($C$7,3,1))*(Tehingud!$D$8:$D$407&lt;&gt;""),Tehingud!$E$8:$E$407)</f>
        <v/>
      </c>
      <c r="D11" s="58">
        <f>SUMPRODUCT(ISNUMBER(MATCH(Tehingud!$D$8:$D$407,Eelarve!$B$31:$B$62,0))*(Tehingud!$B$8:$B$407&gt;=DATE($C$7,2,1))*(Tehingud!$B$8:$B$407&lt;DATE($C$7,3,1))*(Tehingud!$D$8:$D$407&lt;&gt;""),Tehingud!$E$8:$E$407)</f>
        <v/>
      </c>
      <c r="E11" s="58">
        <f>SUMPRODUCT(ISNUMBER(MATCH(Tehingud!$D$8:$D$407,Eelarve!$B$67:$B$81,0))*(Tehingud!$B$8:$B$407&gt;=DATE($C$7,2,1))*(Tehingud!$B$8:$B$407&lt;DATE($C$7,3,1))*(Tehingud!$D$8:$D$407&lt;&gt;""),Tehingud!$E$8:$E$407)</f>
        <v/>
      </c>
      <c r="F11" s="54">
        <f>C11-D11-E11</f>
        <v/>
      </c>
      <c r="G11" s="33">
        <f>IF(N(C11)=0,"",E11/C11)</f>
        <v/>
      </c>
      <c r="H11" s="34">
        <f>IF(G11="","",REPT("█",ROUND(MIN(G11/0.2,1)*8,0))&amp;REPT("░",8-ROUND(MIN(G11/0.2,1)*8,0)))</f>
        <v/>
      </c>
    </row>
    <row r="12" ht="20" customHeight="1">
      <c r="B12" s="31" t="inlineStr">
        <is>
          <t>märts</t>
        </is>
      </c>
      <c r="C12" s="58">
        <f>SUMPRODUCT(ISNUMBER(MATCH(Tehingud!$D$8:$D$407,Eelarve!$B$9:$B$26,0))*(Tehingud!$B$8:$B$407&gt;=DATE($C$7,3,1))*(Tehingud!$B$8:$B$407&lt;DATE($C$7,4,1))*(Tehingud!$D$8:$D$407&lt;&gt;""),Tehingud!$E$8:$E$407)</f>
        <v/>
      </c>
      <c r="D12" s="58">
        <f>SUMPRODUCT(ISNUMBER(MATCH(Tehingud!$D$8:$D$407,Eelarve!$B$31:$B$62,0))*(Tehingud!$B$8:$B$407&gt;=DATE($C$7,3,1))*(Tehingud!$B$8:$B$407&lt;DATE($C$7,4,1))*(Tehingud!$D$8:$D$407&lt;&gt;""),Tehingud!$E$8:$E$407)</f>
        <v/>
      </c>
      <c r="E12" s="58">
        <f>SUMPRODUCT(ISNUMBER(MATCH(Tehingud!$D$8:$D$407,Eelarve!$B$67:$B$81,0))*(Tehingud!$B$8:$B$407&gt;=DATE($C$7,3,1))*(Tehingud!$B$8:$B$407&lt;DATE($C$7,4,1))*(Tehingud!$D$8:$D$407&lt;&gt;""),Tehingud!$E$8:$E$407)</f>
        <v/>
      </c>
      <c r="F12" s="54">
        <f>C12-D12-E12</f>
        <v/>
      </c>
      <c r="G12" s="33">
        <f>IF(N(C12)=0,"",E12/C12)</f>
        <v/>
      </c>
      <c r="H12" s="34">
        <f>IF(G12="","",REPT("█",ROUND(MIN(G12/0.2,1)*8,0))&amp;REPT("░",8-ROUND(MIN(G12/0.2,1)*8,0)))</f>
        <v/>
      </c>
    </row>
    <row r="13" ht="20" customHeight="1">
      <c r="B13" s="31" t="inlineStr">
        <is>
          <t>aprill</t>
        </is>
      </c>
      <c r="C13" s="58">
        <f>SUMPRODUCT(ISNUMBER(MATCH(Tehingud!$D$8:$D$407,Eelarve!$B$9:$B$26,0))*(Tehingud!$B$8:$B$407&gt;=DATE($C$7,4,1))*(Tehingud!$B$8:$B$407&lt;DATE($C$7,5,1))*(Tehingud!$D$8:$D$407&lt;&gt;""),Tehingud!$E$8:$E$407)</f>
        <v/>
      </c>
      <c r="D13" s="58">
        <f>SUMPRODUCT(ISNUMBER(MATCH(Tehingud!$D$8:$D$407,Eelarve!$B$31:$B$62,0))*(Tehingud!$B$8:$B$407&gt;=DATE($C$7,4,1))*(Tehingud!$B$8:$B$407&lt;DATE($C$7,5,1))*(Tehingud!$D$8:$D$407&lt;&gt;""),Tehingud!$E$8:$E$407)</f>
        <v/>
      </c>
      <c r="E13" s="58">
        <f>SUMPRODUCT(ISNUMBER(MATCH(Tehingud!$D$8:$D$407,Eelarve!$B$67:$B$81,0))*(Tehingud!$B$8:$B$407&gt;=DATE($C$7,4,1))*(Tehingud!$B$8:$B$407&lt;DATE($C$7,5,1))*(Tehingud!$D$8:$D$407&lt;&gt;""),Tehingud!$E$8:$E$407)</f>
        <v/>
      </c>
      <c r="F13" s="54">
        <f>C13-D13-E13</f>
        <v/>
      </c>
      <c r="G13" s="33">
        <f>IF(N(C13)=0,"",E13/C13)</f>
        <v/>
      </c>
      <c r="H13" s="34">
        <f>IF(G13="","",REPT("█",ROUND(MIN(G13/0.2,1)*8,0))&amp;REPT("░",8-ROUND(MIN(G13/0.2,1)*8,0)))</f>
        <v/>
      </c>
    </row>
    <row r="14" ht="20" customHeight="1">
      <c r="B14" s="31" t="inlineStr">
        <is>
          <t>mai</t>
        </is>
      </c>
      <c r="C14" s="58">
        <f>SUMPRODUCT(ISNUMBER(MATCH(Tehingud!$D$8:$D$407,Eelarve!$B$9:$B$26,0))*(Tehingud!$B$8:$B$407&gt;=DATE($C$7,5,1))*(Tehingud!$B$8:$B$407&lt;DATE($C$7,6,1))*(Tehingud!$D$8:$D$407&lt;&gt;""),Tehingud!$E$8:$E$407)</f>
        <v/>
      </c>
      <c r="D14" s="58">
        <f>SUMPRODUCT(ISNUMBER(MATCH(Tehingud!$D$8:$D$407,Eelarve!$B$31:$B$62,0))*(Tehingud!$B$8:$B$407&gt;=DATE($C$7,5,1))*(Tehingud!$B$8:$B$407&lt;DATE($C$7,6,1))*(Tehingud!$D$8:$D$407&lt;&gt;""),Tehingud!$E$8:$E$407)</f>
        <v/>
      </c>
      <c r="E14" s="58">
        <f>SUMPRODUCT(ISNUMBER(MATCH(Tehingud!$D$8:$D$407,Eelarve!$B$67:$B$81,0))*(Tehingud!$B$8:$B$407&gt;=DATE($C$7,5,1))*(Tehingud!$B$8:$B$407&lt;DATE($C$7,6,1))*(Tehingud!$D$8:$D$407&lt;&gt;""),Tehingud!$E$8:$E$407)</f>
        <v/>
      </c>
      <c r="F14" s="54">
        <f>C14-D14-E14</f>
        <v/>
      </c>
      <c r="G14" s="33">
        <f>IF(N(C14)=0,"",E14/C14)</f>
        <v/>
      </c>
      <c r="H14" s="34">
        <f>IF(G14="","",REPT("█",ROUND(MIN(G14/0.2,1)*8,0))&amp;REPT("░",8-ROUND(MIN(G14/0.2,1)*8,0)))</f>
        <v/>
      </c>
    </row>
    <row r="15" ht="20" customHeight="1">
      <c r="B15" s="31" t="inlineStr">
        <is>
          <t>juuni</t>
        </is>
      </c>
      <c r="C15" s="58">
        <f>SUMPRODUCT(ISNUMBER(MATCH(Tehingud!$D$8:$D$407,Eelarve!$B$9:$B$26,0))*(Tehingud!$B$8:$B$407&gt;=DATE($C$7,6,1))*(Tehingud!$B$8:$B$407&lt;DATE($C$7,7,1))*(Tehingud!$D$8:$D$407&lt;&gt;""),Tehingud!$E$8:$E$407)</f>
        <v/>
      </c>
      <c r="D15" s="58">
        <f>SUMPRODUCT(ISNUMBER(MATCH(Tehingud!$D$8:$D$407,Eelarve!$B$31:$B$62,0))*(Tehingud!$B$8:$B$407&gt;=DATE($C$7,6,1))*(Tehingud!$B$8:$B$407&lt;DATE($C$7,7,1))*(Tehingud!$D$8:$D$407&lt;&gt;""),Tehingud!$E$8:$E$407)</f>
        <v/>
      </c>
      <c r="E15" s="58">
        <f>SUMPRODUCT(ISNUMBER(MATCH(Tehingud!$D$8:$D$407,Eelarve!$B$67:$B$81,0))*(Tehingud!$B$8:$B$407&gt;=DATE($C$7,6,1))*(Tehingud!$B$8:$B$407&lt;DATE($C$7,7,1))*(Tehingud!$D$8:$D$407&lt;&gt;""),Tehingud!$E$8:$E$407)</f>
        <v/>
      </c>
      <c r="F15" s="54">
        <f>C15-D15-E15</f>
        <v/>
      </c>
      <c r="G15" s="33">
        <f>IF(N(C15)=0,"",E15/C15)</f>
        <v/>
      </c>
      <c r="H15" s="34">
        <f>IF(G15="","",REPT("█",ROUND(MIN(G15/0.2,1)*8,0))&amp;REPT("░",8-ROUND(MIN(G15/0.2,1)*8,0)))</f>
        <v/>
      </c>
    </row>
    <row r="16" ht="20" customHeight="1">
      <c r="B16" s="31" t="inlineStr">
        <is>
          <t>juuli</t>
        </is>
      </c>
      <c r="C16" s="58">
        <f>SUMPRODUCT(ISNUMBER(MATCH(Tehingud!$D$8:$D$407,Eelarve!$B$9:$B$26,0))*(Tehingud!$B$8:$B$407&gt;=DATE($C$7,7,1))*(Tehingud!$B$8:$B$407&lt;DATE($C$7,8,1))*(Tehingud!$D$8:$D$407&lt;&gt;""),Tehingud!$E$8:$E$407)</f>
        <v/>
      </c>
      <c r="D16" s="58">
        <f>SUMPRODUCT(ISNUMBER(MATCH(Tehingud!$D$8:$D$407,Eelarve!$B$31:$B$62,0))*(Tehingud!$B$8:$B$407&gt;=DATE($C$7,7,1))*(Tehingud!$B$8:$B$407&lt;DATE($C$7,8,1))*(Tehingud!$D$8:$D$407&lt;&gt;""),Tehingud!$E$8:$E$407)</f>
        <v/>
      </c>
      <c r="E16" s="58">
        <f>SUMPRODUCT(ISNUMBER(MATCH(Tehingud!$D$8:$D$407,Eelarve!$B$67:$B$81,0))*(Tehingud!$B$8:$B$407&gt;=DATE($C$7,7,1))*(Tehingud!$B$8:$B$407&lt;DATE($C$7,8,1))*(Tehingud!$D$8:$D$407&lt;&gt;""),Tehingud!$E$8:$E$407)</f>
        <v/>
      </c>
      <c r="F16" s="54">
        <f>C16-D16-E16</f>
        <v/>
      </c>
      <c r="G16" s="33">
        <f>IF(N(C16)=0,"",E16/C16)</f>
        <v/>
      </c>
      <c r="H16" s="34">
        <f>IF(G16="","",REPT("█",ROUND(MIN(G16/0.2,1)*8,0))&amp;REPT("░",8-ROUND(MIN(G16/0.2,1)*8,0)))</f>
        <v/>
      </c>
    </row>
    <row r="17" ht="20" customHeight="1">
      <c r="B17" s="31" t="inlineStr">
        <is>
          <t>august</t>
        </is>
      </c>
      <c r="C17" s="58">
        <f>SUMPRODUCT(ISNUMBER(MATCH(Tehingud!$D$8:$D$407,Eelarve!$B$9:$B$26,0))*(Tehingud!$B$8:$B$407&gt;=DATE($C$7,8,1))*(Tehingud!$B$8:$B$407&lt;DATE($C$7,9,1))*(Tehingud!$D$8:$D$407&lt;&gt;""),Tehingud!$E$8:$E$407)</f>
        <v/>
      </c>
      <c r="D17" s="58">
        <f>SUMPRODUCT(ISNUMBER(MATCH(Tehingud!$D$8:$D$407,Eelarve!$B$31:$B$62,0))*(Tehingud!$B$8:$B$407&gt;=DATE($C$7,8,1))*(Tehingud!$B$8:$B$407&lt;DATE($C$7,9,1))*(Tehingud!$D$8:$D$407&lt;&gt;""),Tehingud!$E$8:$E$407)</f>
        <v/>
      </c>
      <c r="E17" s="58">
        <f>SUMPRODUCT(ISNUMBER(MATCH(Tehingud!$D$8:$D$407,Eelarve!$B$67:$B$81,0))*(Tehingud!$B$8:$B$407&gt;=DATE($C$7,8,1))*(Tehingud!$B$8:$B$407&lt;DATE($C$7,9,1))*(Tehingud!$D$8:$D$407&lt;&gt;""),Tehingud!$E$8:$E$407)</f>
        <v/>
      </c>
      <c r="F17" s="54">
        <f>C17-D17-E17</f>
        <v/>
      </c>
      <c r="G17" s="33">
        <f>IF(N(C17)=0,"",E17/C17)</f>
        <v/>
      </c>
      <c r="H17" s="34">
        <f>IF(G17="","",REPT("█",ROUND(MIN(G17/0.2,1)*8,0))&amp;REPT("░",8-ROUND(MIN(G17/0.2,1)*8,0)))</f>
        <v/>
      </c>
    </row>
    <row r="18" ht="20" customHeight="1">
      <c r="B18" s="31" t="inlineStr">
        <is>
          <t>september</t>
        </is>
      </c>
      <c r="C18" s="58">
        <f>SUMPRODUCT(ISNUMBER(MATCH(Tehingud!$D$8:$D$407,Eelarve!$B$9:$B$26,0))*(Tehingud!$B$8:$B$407&gt;=DATE($C$7,9,1))*(Tehingud!$B$8:$B$407&lt;DATE($C$7,10,1))*(Tehingud!$D$8:$D$407&lt;&gt;""),Tehingud!$E$8:$E$407)</f>
        <v/>
      </c>
      <c r="D18" s="58">
        <f>SUMPRODUCT(ISNUMBER(MATCH(Tehingud!$D$8:$D$407,Eelarve!$B$31:$B$62,0))*(Tehingud!$B$8:$B$407&gt;=DATE($C$7,9,1))*(Tehingud!$B$8:$B$407&lt;DATE($C$7,10,1))*(Tehingud!$D$8:$D$407&lt;&gt;""),Tehingud!$E$8:$E$407)</f>
        <v/>
      </c>
      <c r="E18" s="58">
        <f>SUMPRODUCT(ISNUMBER(MATCH(Tehingud!$D$8:$D$407,Eelarve!$B$67:$B$81,0))*(Tehingud!$B$8:$B$407&gt;=DATE($C$7,9,1))*(Tehingud!$B$8:$B$407&lt;DATE($C$7,10,1))*(Tehingud!$D$8:$D$407&lt;&gt;""),Tehingud!$E$8:$E$407)</f>
        <v/>
      </c>
      <c r="F18" s="54">
        <f>C18-D18-E18</f>
        <v/>
      </c>
      <c r="G18" s="33">
        <f>IF(N(C18)=0,"",E18/C18)</f>
        <v/>
      </c>
      <c r="H18" s="34">
        <f>IF(G18="","",REPT("█",ROUND(MIN(G18/0.2,1)*8,0))&amp;REPT("░",8-ROUND(MIN(G18/0.2,1)*8,0)))</f>
        <v/>
      </c>
    </row>
    <row r="19" ht="20" customHeight="1">
      <c r="B19" s="31" t="inlineStr">
        <is>
          <t>oktoober</t>
        </is>
      </c>
      <c r="C19" s="58">
        <f>SUMPRODUCT(ISNUMBER(MATCH(Tehingud!$D$8:$D$407,Eelarve!$B$9:$B$26,0))*(Tehingud!$B$8:$B$407&gt;=DATE($C$7,10,1))*(Tehingud!$B$8:$B$407&lt;DATE($C$7,11,1))*(Tehingud!$D$8:$D$407&lt;&gt;""),Tehingud!$E$8:$E$407)</f>
        <v/>
      </c>
      <c r="D19" s="58">
        <f>SUMPRODUCT(ISNUMBER(MATCH(Tehingud!$D$8:$D$407,Eelarve!$B$31:$B$62,0))*(Tehingud!$B$8:$B$407&gt;=DATE($C$7,10,1))*(Tehingud!$B$8:$B$407&lt;DATE($C$7,11,1))*(Tehingud!$D$8:$D$407&lt;&gt;""),Tehingud!$E$8:$E$407)</f>
        <v/>
      </c>
      <c r="E19" s="58">
        <f>SUMPRODUCT(ISNUMBER(MATCH(Tehingud!$D$8:$D$407,Eelarve!$B$67:$B$81,0))*(Tehingud!$B$8:$B$407&gt;=DATE($C$7,10,1))*(Tehingud!$B$8:$B$407&lt;DATE($C$7,11,1))*(Tehingud!$D$8:$D$407&lt;&gt;""),Tehingud!$E$8:$E$407)</f>
        <v/>
      </c>
      <c r="F19" s="54">
        <f>C19-D19-E19</f>
        <v/>
      </c>
      <c r="G19" s="33">
        <f>IF(N(C19)=0,"",E19/C19)</f>
        <v/>
      </c>
      <c r="H19" s="34">
        <f>IF(G19="","",REPT("█",ROUND(MIN(G19/0.2,1)*8,0))&amp;REPT("░",8-ROUND(MIN(G19/0.2,1)*8,0)))</f>
        <v/>
      </c>
    </row>
    <row r="20" ht="20" customHeight="1">
      <c r="B20" s="31" t="inlineStr">
        <is>
          <t>november</t>
        </is>
      </c>
      <c r="C20" s="58">
        <f>SUMPRODUCT(ISNUMBER(MATCH(Tehingud!$D$8:$D$407,Eelarve!$B$9:$B$26,0))*(Tehingud!$B$8:$B$407&gt;=DATE($C$7,11,1))*(Tehingud!$B$8:$B$407&lt;DATE($C$7,12,1))*(Tehingud!$D$8:$D$407&lt;&gt;""),Tehingud!$E$8:$E$407)</f>
        <v/>
      </c>
      <c r="D20" s="58">
        <f>SUMPRODUCT(ISNUMBER(MATCH(Tehingud!$D$8:$D$407,Eelarve!$B$31:$B$62,0))*(Tehingud!$B$8:$B$407&gt;=DATE($C$7,11,1))*(Tehingud!$B$8:$B$407&lt;DATE($C$7,12,1))*(Tehingud!$D$8:$D$407&lt;&gt;""),Tehingud!$E$8:$E$407)</f>
        <v/>
      </c>
      <c r="E20" s="58">
        <f>SUMPRODUCT(ISNUMBER(MATCH(Tehingud!$D$8:$D$407,Eelarve!$B$67:$B$81,0))*(Tehingud!$B$8:$B$407&gt;=DATE($C$7,11,1))*(Tehingud!$B$8:$B$407&lt;DATE($C$7,12,1))*(Tehingud!$D$8:$D$407&lt;&gt;""),Tehingud!$E$8:$E$407)</f>
        <v/>
      </c>
      <c r="F20" s="54">
        <f>C20-D20-E20</f>
        <v/>
      </c>
      <c r="G20" s="33">
        <f>IF(N(C20)=0,"",E20/C20)</f>
        <v/>
      </c>
      <c r="H20" s="34">
        <f>IF(G20="","",REPT("█",ROUND(MIN(G20/0.2,1)*8,0))&amp;REPT("░",8-ROUND(MIN(G20/0.2,1)*8,0)))</f>
        <v/>
      </c>
    </row>
    <row r="21" ht="20" customHeight="1">
      <c r="B21" s="31" t="inlineStr">
        <is>
          <t>detsember</t>
        </is>
      </c>
      <c r="C21" s="58">
        <f>SUMPRODUCT(ISNUMBER(MATCH(Tehingud!$D$8:$D$407,Eelarve!$B$9:$B$26,0))*(Tehingud!$B$8:$B$407&gt;=DATE($C$7,12,1))*(Tehingud!$B$8:$B$407&lt;DATE($C$7,13,1))*(Tehingud!$D$8:$D$407&lt;&gt;""),Tehingud!$E$8:$E$407)</f>
        <v/>
      </c>
      <c r="D21" s="58">
        <f>SUMPRODUCT(ISNUMBER(MATCH(Tehingud!$D$8:$D$407,Eelarve!$B$31:$B$62,0))*(Tehingud!$B$8:$B$407&gt;=DATE($C$7,12,1))*(Tehingud!$B$8:$B$407&lt;DATE($C$7,13,1))*(Tehingud!$D$8:$D$407&lt;&gt;""),Tehingud!$E$8:$E$407)</f>
        <v/>
      </c>
      <c r="E21" s="58">
        <f>SUMPRODUCT(ISNUMBER(MATCH(Tehingud!$D$8:$D$407,Eelarve!$B$67:$B$81,0))*(Tehingud!$B$8:$B$407&gt;=DATE($C$7,12,1))*(Tehingud!$B$8:$B$407&lt;DATE($C$7,13,1))*(Tehingud!$D$8:$D$407&lt;&gt;""),Tehingud!$E$8:$E$407)</f>
        <v/>
      </c>
      <c r="F21" s="54">
        <f>C21-D21-E21</f>
        <v/>
      </c>
      <c r="G21" s="33">
        <f>IF(N(C21)=0,"",E21/C21)</f>
        <v/>
      </c>
      <c r="H21" s="34">
        <f>IF(G21="","",REPT("█",ROUND(MIN(G21/0.2,1)*8,0))&amp;REPT("░",8-ROUND(MIN(G21/0.2,1)*8,0)))</f>
        <v/>
      </c>
    </row>
    <row r="22" ht="24" customHeight="1">
      <c r="B22" s="35" t="inlineStr">
        <is>
          <t>Kokku</t>
        </is>
      </c>
      <c r="C22" s="54">
        <f>SUM(C10:C21)</f>
        <v/>
      </c>
      <c r="D22" s="54">
        <f>SUM(D10:D21)</f>
        <v/>
      </c>
      <c r="E22" s="54">
        <f>SUM(E10:E21)</f>
        <v/>
      </c>
      <c r="F22" s="54">
        <f>SUM(F10:F21)</f>
        <v/>
      </c>
      <c r="G22" s="37">
        <f>IF(N(C22)=0,"",E22/C22)</f>
        <v/>
      </c>
    </row>
    <row r="23" ht="22" customHeight="1">
      <c r="B23" s="60" t="inlineStr">
        <is>
          <t>Kuu keskmine</t>
        </is>
      </c>
      <c r="C23" s="61">
        <f>IF(COUNTIF($C$10:$C$21,"&gt;0")=0,"",C22/COUNTIF($C$10:$C$21,"&gt;0"))</f>
        <v/>
      </c>
      <c r="D23" s="61">
        <f>IF(COUNTIF($C$10:$C$21,"&gt;0")=0,"",D22/COUNTIF($C$10:$C$21,"&gt;0"))</f>
        <v/>
      </c>
      <c r="E23" s="61">
        <f>IF(COUNTIF($C$10:$C$21,"&gt;0")=0,"",E22/COUNTIF($C$10:$C$21,"&gt;0"))</f>
        <v/>
      </c>
      <c r="F23" s="61">
        <f>IF(COUNTIF($C$10:$C$21,"&gt;0")=0,"",F22/COUNTIF($C$10:$C$21,"&gt;0"))</f>
        <v/>
      </c>
    </row>
    <row r="24">
      <c r="B24" s="38" t="inlineStr">
        <is>
          <t>Keskmine arvestab ainult kuid, kus on tulusid kirjas.</t>
        </is>
      </c>
    </row>
    <row r="26" ht="26" customHeight="1">
      <c r="B26" s="27" t="inlineStr">
        <is>
          <t>KULUD KATEGOORIATE KAUPA</t>
        </is>
      </c>
      <c r="C26" s="28" t="n"/>
      <c r="D26" s="28" t="n"/>
      <c r="E26" s="28" t="n"/>
      <c r="F26" s="28" t="n"/>
      <c r="G26" s="28" t="n"/>
      <c r="H26" s="28" t="n"/>
      <c r="I26" s="28" t="n"/>
      <c r="J26" s="28" t="n"/>
      <c r="K26" s="28" t="n"/>
      <c r="L26" s="28" t="n"/>
      <c r="M26" s="28" t="n"/>
      <c r="N26" s="28" t="n"/>
      <c r="O26" s="28" t="n"/>
      <c r="P26" s="28" t="n"/>
      <c r="Q26" s="28" t="n"/>
    </row>
    <row r="27" ht="22" customHeight="1">
      <c r="B27" s="29" t="inlineStr">
        <is>
          <t>Kategooria</t>
        </is>
      </c>
      <c r="C27" s="30" t="inlineStr">
        <is>
          <t>jaan</t>
        </is>
      </c>
      <c r="D27" s="30" t="inlineStr">
        <is>
          <t>veebr</t>
        </is>
      </c>
      <c r="E27" s="30" t="inlineStr">
        <is>
          <t>märts</t>
        </is>
      </c>
      <c r="F27" s="30" t="inlineStr">
        <is>
          <t>apr</t>
        </is>
      </c>
      <c r="G27" s="30" t="inlineStr">
        <is>
          <t>mai</t>
        </is>
      </c>
      <c r="H27" s="30" t="inlineStr">
        <is>
          <t>juuni</t>
        </is>
      </c>
      <c r="I27" s="30" t="inlineStr">
        <is>
          <t>juuli</t>
        </is>
      </c>
      <c r="J27" s="30" t="inlineStr">
        <is>
          <t>aug</t>
        </is>
      </c>
      <c r="K27" s="30" t="inlineStr">
        <is>
          <t>sept</t>
        </is>
      </c>
      <c r="L27" s="30" t="inlineStr">
        <is>
          <t>okt</t>
        </is>
      </c>
      <c r="M27" s="30" t="inlineStr">
        <is>
          <t>nov</t>
        </is>
      </c>
      <c r="N27" s="30" t="inlineStr">
        <is>
          <t>dets</t>
        </is>
      </c>
      <c r="O27" s="30" t="inlineStr">
        <is>
          <t>Aasta</t>
        </is>
      </c>
      <c r="P27" s="30" t="inlineStr">
        <is>
          <t>Keskmine</t>
        </is>
      </c>
      <c r="Q27" s="30" t="inlineStr">
        <is>
          <t>% kuludest</t>
        </is>
      </c>
    </row>
    <row r="28" ht="19" customHeight="1">
      <c r="B28" s="62">
        <f>IF(Eelarve!B31="","",Eelarve!B31)</f>
        <v/>
      </c>
      <c r="C28" s="63">
        <f>IF($B28="","",SUMIFS(Tehingud!$E$8:$E$407,Tehingud!$D$8:$D$407,$B28,Tehingud!$B$8:$B$407,"&gt;="&amp;DATE($C$7,1,1),Tehingud!$B$8:$B$407,"&lt;"&amp;DATE($C$7,2,1)))</f>
        <v/>
      </c>
      <c r="D28" s="63">
        <f>IF($B28="","",SUMIFS(Tehingud!$E$8:$E$407,Tehingud!$D$8:$D$407,$B28,Tehingud!$B$8:$B$407,"&gt;="&amp;DATE($C$7,2,1),Tehingud!$B$8:$B$407,"&lt;"&amp;DATE($C$7,3,1)))</f>
        <v/>
      </c>
      <c r="E28" s="63">
        <f>IF($B28="","",SUMIFS(Tehingud!$E$8:$E$407,Tehingud!$D$8:$D$407,$B28,Tehingud!$B$8:$B$407,"&gt;="&amp;DATE($C$7,3,1),Tehingud!$B$8:$B$407,"&lt;"&amp;DATE($C$7,4,1)))</f>
        <v/>
      </c>
      <c r="F28" s="63">
        <f>IF($B28="","",SUMIFS(Tehingud!$E$8:$E$407,Tehingud!$D$8:$D$407,$B28,Tehingud!$B$8:$B$407,"&gt;="&amp;DATE($C$7,4,1),Tehingud!$B$8:$B$407,"&lt;"&amp;DATE($C$7,5,1)))</f>
        <v/>
      </c>
      <c r="G28" s="63">
        <f>IF($B28="","",SUMIFS(Tehingud!$E$8:$E$407,Tehingud!$D$8:$D$407,$B28,Tehingud!$B$8:$B$407,"&gt;="&amp;DATE($C$7,5,1),Tehingud!$B$8:$B$407,"&lt;"&amp;DATE($C$7,6,1)))</f>
        <v/>
      </c>
      <c r="H28" s="63">
        <f>IF($B28="","",SUMIFS(Tehingud!$E$8:$E$407,Tehingud!$D$8:$D$407,$B28,Tehingud!$B$8:$B$407,"&gt;="&amp;DATE($C$7,6,1),Tehingud!$B$8:$B$407,"&lt;"&amp;DATE($C$7,7,1)))</f>
        <v/>
      </c>
      <c r="I28" s="63">
        <f>IF($B28="","",SUMIFS(Tehingud!$E$8:$E$407,Tehingud!$D$8:$D$407,$B28,Tehingud!$B$8:$B$407,"&gt;="&amp;DATE($C$7,7,1),Tehingud!$B$8:$B$407,"&lt;"&amp;DATE($C$7,8,1)))</f>
        <v/>
      </c>
      <c r="J28" s="63">
        <f>IF($B28="","",SUMIFS(Tehingud!$E$8:$E$407,Tehingud!$D$8:$D$407,$B28,Tehingud!$B$8:$B$407,"&gt;="&amp;DATE($C$7,8,1),Tehingud!$B$8:$B$407,"&lt;"&amp;DATE($C$7,9,1)))</f>
        <v/>
      </c>
      <c r="K28" s="63">
        <f>IF($B28="","",SUMIFS(Tehingud!$E$8:$E$407,Tehingud!$D$8:$D$407,$B28,Tehingud!$B$8:$B$407,"&gt;="&amp;DATE($C$7,9,1),Tehingud!$B$8:$B$407,"&lt;"&amp;DATE($C$7,10,1)))</f>
        <v/>
      </c>
      <c r="L28" s="63">
        <f>IF($B28="","",SUMIFS(Tehingud!$E$8:$E$407,Tehingud!$D$8:$D$407,$B28,Tehingud!$B$8:$B$407,"&gt;="&amp;DATE($C$7,10,1),Tehingud!$B$8:$B$407,"&lt;"&amp;DATE($C$7,11,1)))</f>
        <v/>
      </c>
      <c r="M28" s="63">
        <f>IF($B28="","",SUMIFS(Tehingud!$E$8:$E$407,Tehingud!$D$8:$D$407,$B28,Tehingud!$B$8:$B$407,"&gt;="&amp;DATE($C$7,11,1),Tehingud!$B$8:$B$407,"&lt;"&amp;DATE($C$7,12,1)))</f>
        <v/>
      </c>
      <c r="N28" s="63">
        <f>IF($B28="","",SUMIFS(Tehingud!$E$8:$E$407,Tehingud!$D$8:$D$407,$B28,Tehingud!$B$8:$B$407,"&gt;="&amp;DATE($C$7,12,1),Tehingud!$B$8:$B$407,"&lt;"&amp;DATE($C$7,13,1)))</f>
        <v/>
      </c>
      <c r="O28" s="64">
        <f>IF($B28="","",SUM(C28:N28))</f>
        <v/>
      </c>
      <c r="P28" s="65">
        <f>IF(OR($B28="",$F$23=""),"",O28/COUNTIF($C$10:$C$21,"&gt;0"))</f>
        <v/>
      </c>
      <c r="Q28" s="66">
        <f>IF(OR($B28="",N($D$22)=0),"",O28/$D$22)</f>
        <v/>
      </c>
    </row>
    <row r="29" ht="19" customHeight="1">
      <c r="B29" s="62">
        <f>IF(Eelarve!B32="","",Eelarve!B32)</f>
        <v/>
      </c>
      <c r="C29" s="63">
        <f>IF($B29="","",SUMIFS(Tehingud!$E$8:$E$407,Tehingud!$D$8:$D$407,$B29,Tehingud!$B$8:$B$407,"&gt;="&amp;DATE($C$7,1,1),Tehingud!$B$8:$B$407,"&lt;"&amp;DATE($C$7,2,1)))</f>
        <v/>
      </c>
      <c r="D29" s="63">
        <f>IF($B29="","",SUMIFS(Tehingud!$E$8:$E$407,Tehingud!$D$8:$D$407,$B29,Tehingud!$B$8:$B$407,"&gt;="&amp;DATE($C$7,2,1),Tehingud!$B$8:$B$407,"&lt;"&amp;DATE($C$7,3,1)))</f>
        <v/>
      </c>
      <c r="E29" s="63">
        <f>IF($B29="","",SUMIFS(Tehingud!$E$8:$E$407,Tehingud!$D$8:$D$407,$B29,Tehingud!$B$8:$B$407,"&gt;="&amp;DATE($C$7,3,1),Tehingud!$B$8:$B$407,"&lt;"&amp;DATE($C$7,4,1)))</f>
        <v/>
      </c>
      <c r="F29" s="63">
        <f>IF($B29="","",SUMIFS(Tehingud!$E$8:$E$407,Tehingud!$D$8:$D$407,$B29,Tehingud!$B$8:$B$407,"&gt;="&amp;DATE($C$7,4,1),Tehingud!$B$8:$B$407,"&lt;"&amp;DATE($C$7,5,1)))</f>
        <v/>
      </c>
      <c r="G29" s="63">
        <f>IF($B29="","",SUMIFS(Tehingud!$E$8:$E$407,Tehingud!$D$8:$D$407,$B29,Tehingud!$B$8:$B$407,"&gt;="&amp;DATE($C$7,5,1),Tehingud!$B$8:$B$407,"&lt;"&amp;DATE($C$7,6,1)))</f>
        <v/>
      </c>
      <c r="H29" s="63">
        <f>IF($B29="","",SUMIFS(Tehingud!$E$8:$E$407,Tehingud!$D$8:$D$407,$B29,Tehingud!$B$8:$B$407,"&gt;="&amp;DATE($C$7,6,1),Tehingud!$B$8:$B$407,"&lt;"&amp;DATE($C$7,7,1)))</f>
        <v/>
      </c>
      <c r="I29" s="63">
        <f>IF($B29="","",SUMIFS(Tehingud!$E$8:$E$407,Tehingud!$D$8:$D$407,$B29,Tehingud!$B$8:$B$407,"&gt;="&amp;DATE($C$7,7,1),Tehingud!$B$8:$B$407,"&lt;"&amp;DATE($C$7,8,1)))</f>
        <v/>
      </c>
      <c r="J29" s="63">
        <f>IF($B29="","",SUMIFS(Tehingud!$E$8:$E$407,Tehingud!$D$8:$D$407,$B29,Tehingud!$B$8:$B$407,"&gt;="&amp;DATE($C$7,8,1),Tehingud!$B$8:$B$407,"&lt;"&amp;DATE($C$7,9,1)))</f>
        <v/>
      </c>
      <c r="K29" s="63">
        <f>IF($B29="","",SUMIFS(Tehingud!$E$8:$E$407,Tehingud!$D$8:$D$407,$B29,Tehingud!$B$8:$B$407,"&gt;="&amp;DATE($C$7,9,1),Tehingud!$B$8:$B$407,"&lt;"&amp;DATE($C$7,10,1)))</f>
        <v/>
      </c>
      <c r="L29" s="63">
        <f>IF($B29="","",SUMIFS(Tehingud!$E$8:$E$407,Tehingud!$D$8:$D$407,$B29,Tehingud!$B$8:$B$407,"&gt;="&amp;DATE($C$7,10,1),Tehingud!$B$8:$B$407,"&lt;"&amp;DATE($C$7,11,1)))</f>
        <v/>
      </c>
      <c r="M29" s="63">
        <f>IF($B29="","",SUMIFS(Tehingud!$E$8:$E$407,Tehingud!$D$8:$D$407,$B29,Tehingud!$B$8:$B$407,"&gt;="&amp;DATE($C$7,11,1),Tehingud!$B$8:$B$407,"&lt;"&amp;DATE($C$7,12,1)))</f>
        <v/>
      </c>
      <c r="N29" s="63">
        <f>IF($B29="","",SUMIFS(Tehingud!$E$8:$E$407,Tehingud!$D$8:$D$407,$B29,Tehingud!$B$8:$B$407,"&gt;="&amp;DATE($C$7,12,1),Tehingud!$B$8:$B$407,"&lt;"&amp;DATE($C$7,13,1)))</f>
        <v/>
      </c>
      <c r="O29" s="64">
        <f>IF($B29="","",SUM(C29:N29))</f>
        <v/>
      </c>
      <c r="P29" s="65">
        <f>IF(OR($B29="",$F$23=""),"",O29/COUNTIF($C$10:$C$21,"&gt;0"))</f>
        <v/>
      </c>
      <c r="Q29" s="66">
        <f>IF(OR($B29="",N($D$22)=0),"",O29/$D$22)</f>
        <v/>
      </c>
    </row>
    <row r="30" ht="19" customHeight="1">
      <c r="B30" s="62">
        <f>IF(Eelarve!B33="","",Eelarve!B33)</f>
        <v/>
      </c>
      <c r="C30" s="63">
        <f>IF($B30="","",SUMIFS(Tehingud!$E$8:$E$407,Tehingud!$D$8:$D$407,$B30,Tehingud!$B$8:$B$407,"&gt;="&amp;DATE($C$7,1,1),Tehingud!$B$8:$B$407,"&lt;"&amp;DATE($C$7,2,1)))</f>
        <v/>
      </c>
      <c r="D30" s="63">
        <f>IF($B30="","",SUMIFS(Tehingud!$E$8:$E$407,Tehingud!$D$8:$D$407,$B30,Tehingud!$B$8:$B$407,"&gt;="&amp;DATE($C$7,2,1),Tehingud!$B$8:$B$407,"&lt;"&amp;DATE($C$7,3,1)))</f>
        <v/>
      </c>
      <c r="E30" s="63">
        <f>IF($B30="","",SUMIFS(Tehingud!$E$8:$E$407,Tehingud!$D$8:$D$407,$B30,Tehingud!$B$8:$B$407,"&gt;="&amp;DATE($C$7,3,1),Tehingud!$B$8:$B$407,"&lt;"&amp;DATE($C$7,4,1)))</f>
        <v/>
      </c>
      <c r="F30" s="63">
        <f>IF($B30="","",SUMIFS(Tehingud!$E$8:$E$407,Tehingud!$D$8:$D$407,$B30,Tehingud!$B$8:$B$407,"&gt;="&amp;DATE($C$7,4,1),Tehingud!$B$8:$B$407,"&lt;"&amp;DATE($C$7,5,1)))</f>
        <v/>
      </c>
      <c r="G30" s="63">
        <f>IF($B30="","",SUMIFS(Tehingud!$E$8:$E$407,Tehingud!$D$8:$D$407,$B30,Tehingud!$B$8:$B$407,"&gt;="&amp;DATE($C$7,5,1),Tehingud!$B$8:$B$407,"&lt;"&amp;DATE($C$7,6,1)))</f>
        <v/>
      </c>
      <c r="H30" s="63">
        <f>IF($B30="","",SUMIFS(Tehingud!$E$8:$E$407,Tehingud!$D$8:$D$407,$B30,Tehingud!$B$8:$B$407,"&gt;="&amp;DATE($C$7,6,1),Tehingud!$B$8:$B$407,"&lt;"&amp;DATE($C$7,7,1)))</f>
        <v/>
      </c>
      <c r="I30" s="63">
        <f>IF($B30="","",SUMIFS(Tehingud!$E$8:$E$407,Tehingud!$D$8:$D$407,$B30,Tehingud!$B$8:$B$407,"&gt;="&amp;DATE($C$7,7,1),Tehingud!$B$8:$B$407,"&lt;"&amp;DATE($C$7,8,1)))</f>
        <v/>
      </c>
      <c r="J30" s="63">
        <f>IF($B30="","",SUMIFS(Tehingud!$E$8:$E$407,Tehingud!$D$8:$D$407,$B30,Tehingud!$B$8:$B$407,"&gt;="&amp;DATE($C$7,8,1),Tehingud!$B$8:$B$407,"&lt;"&amp;DATE($C$7,9,1)))</f>
        <v/>
      </c>
      <c r="K30" s="63">
        <f>IF($B30="","",SUMIFS(Tehingud!$E$8:$E$407,Tehingud!$D$8:$D$407,$B30,Tehingud!$B$8:$B$407,"&gt;="&amp;DATE($C$7,9,1),Tehingud!$B$8:$B$407,"&lt;"&amp;DATE($C$7,10,1)))</f>
        <v/>
      </c>
      <c r="L30" s="63">
        <f>IF($B30="","",SUMIFS(Tehingud!$E$8:$E$407,Tehingud!$D$8:$D$407,$B30,Tehingud!$B$8:$B$407,"&gt;="&amp;DATE($C$7,10,1),Tehingud!$B$8:$B$407,"&lt;"&amp;DATE($C$7,11,1)))</f>
        <v/>
      </c>
      <c r="M30" s="63">
        <f>IF($B30="","",SUMIFS(Tehingud!$E$8:$E$407,Tehingud!$D$8:$D$407,$B30,Tehingud!$B$8:$B$407,"&gt;="&amp;DATE($C$7,11,1),Tehingud!$B$8:$B$407,"&lt;"&amp;DATE($C$7,12,1)))</f>
        <v/>
      </c>
      <c r="N30" s="63">
        <f>IF($B30="","",SUMIFS(Tehingud!$E$8:$E$407,Tehingud!$D$8:$D$407,$B30,Tehingud!$B$8:$B$407,"&gt;="&amp;DATE($C$7,12,1),Tehingud!$B$8:$B$407,"&lt;"&amp;DATE($C$7,13,1)))</f>
        <v/>
      </c>
      <c r="O30" s="64">
        <f>IF($B30="","",SUM(C30:N30))</f>
        <v/>
      </c>
      <c r="P30" s="65">
        <f>IF(OR($B30="",$F$23=""),"",O30/COUNTIF($C$10:$C$21,"&gt;0"))</f>
        <v/>
      </c>
      <c r="Q30" s="66">
        <f>IF(OR($B30="",N($D$22)=0),"",O30/$D$22)</f>
        <v/>
      </c>
    </row>
    <row r="31" ht="19" customHeight="1">
      <c r="B31" s="62">
        <f>IF(Eelarve!B34="","",Eelarve!B34)</f>
        <v/>
      </c>
      <c r="C31" s="63">
        <f>IF($B31="","",SUMIFS(Tehingud!$E$8:$E$407,Tehingud!$D$8:$D$407,$B31,Tehingud!$B$8:$B$407,"&gt;="&amp;DATE($C$7,1,1),Tehingud!$B$8:$B$407,"&lt;"&amp;DATE($C$7,2,1)))</f>
        <v/>
      </c>
      <c r="D31" s="63">
        <f>IF($B31="","",SUMIFS(Tehingud!$E$8:$E$407,Tehingud!$D$8:$D$407,$B31,Tehingud!$B$8:$B$407,"&gt;="&amp;DATE($C$7,2,1),Tehingud!$B$8:$B$407,"&lt;"&amp;DATE($C$7,3,1)))</f>
        <v/>
      </c>
      <c r="E31" s="63">
        <f>IF($B31="","",SUMIFS(Tehingud!$E$8:$E$407,Tehingud!$D$8:$D$407,$B31,Tehingud!$B$8:$B$407,"&gt;="&amp;DATE($C$7,3,1),Tehingud!$B$8:$B$407,"&lt;"&amp;DATE($C$7,4,1)))</f>
        <v/>
      </c>
      <c r="F31" s="63">
        <f>IF($B31="","",SUMIFS(Tehingud!$E$8:$E$407,Tehingud!$D$8:$D$407,$B31,Tehingud!$B$8:$B$407,"&gt;="&amp;DATE($C$7,4,1),Tehingud!$B$8:$B$407,"&lt;"&amp;DATE($C$7,5,1)))</f>
        <v/>
      </c>
      <c r="G31" s="63">
        <f>IF($B31="","",SUMIFS(Tehingud!$E$8:$E$407,Tehingud!$D$8:$D$407,$B31,Tehingud!$B$8:$B$407,"&gt;="&amp;DATE($C$7,5,1),Tehingud!$B$8:$B$407,"&lt;"&amp;DATE($C$7,6,1)))</f>
        <v/>
      </c>
      <c r="H31" s="63">
        <f>IF($B31="","",SUMIFS(Tehingud!$E$8:$E$407,Tehingud!$D$8:$D$407,$B31,Tehingud!$B$8:$B$407,"&gt;="&amp;DATE($C$7,6,1),Tehingud!$B$8:$B$407,"&lt;"&amp;DATE($C$7,7,1)))</f>
        <v/>
      </c>
      <c r="I31" s="63">
        <f>IF($B31="","",SUMIFS(Tehingud!$E$8:$E$407,Tehingud!$D$8:$D$407,$B31,Tehingud!$B$8:$B$407,"&gt;="&amp;DATE($C$7,7,1),Tehingud!$B$8:$B$407,"&lt;"&amp;DATE($C$7,8,1)))</f>
        <v/>
      </c>
      <c r="J31" s="63">
        <f>IF($B31="","",SUMIFS(Tehingud!$E$8:$E$407,Tehingud!$D$8:$D$407,$B31,Tehingud!$B$8:$B$407,"&gt;="&amp;DATE($C$7,8,1),Tehingud!$B$8:$B$407,"&lt;"&amp;DATE($C$7,9,1)))</f>
        <v/>
      </c>
      <c r="K31" s="63">
        <f>IF($B31="","",SUMIFS(Tehingud!$E$8:$E$407,Tehingud!$D$8:$D$407,$B31,Tehingud!$B$8:$B$407,"&gt;="&amp;DATE($C$7,9,1),Tehingud!$B$8:$B$407,"&lt;"&amp;DATE($C$7,10,1)))</f>
        <v/>
      </c>
      <c r="L31" s="63">
        <f>IF($B31="","",SUMIFS(Tehingud!$E$8:$E$407,Tehingud!$D$8:$D$407,$B31,Tehingud!$B$8:$B$407,"&gt;="&amp;DATE($C$7,10,1),Tehingud!$B$8:$B$407,"&lt;"&amp;DATE($C$7,11,1)))</f>
        <v/>
      </c>
      <c r="M31" s="63">
        <f>IF($B31="","",SUMIFS(Tehingud!$E$8:$E$407,Tehingud!$D$8:$D$407,$B31,Tehingud!$B$8:$B$407,"&gt;="&amp;DATE($C$7,11,1),Tehingud!$B$8:$B$407,"&lt;"&amp;DATE($C$7,12,1)))</f>
        <v/>
      </c>
      <c r="N31" s="63">
        <f>IF($B31="","",SUMIFS(Tehingud!$E$8:$E$407,Tehingud!$D$8:$D$407,$B31,Tehingud!$B$8:$B$407,"&gt;="&amp;DATE($C$7,12,1),Tehingud!$B$8:$B$407,"&lt;"&amp;DATE($C$7,13,1)))</f>
        <v/>
      </c>
      <c r="O31" s="64">
        <f>IF($B31="","",SUM(C31:N31))</f>
        <v/>
      </c>
      <c r="P31" s="65">
        <f>IF(OR($B31="",$F$23=""),"",O31/COUNTIF($C$10:$C$21,"&gt;0"))</f>
        <v/>
      </c>
      <c r="Q31" s="66">
        <f>IF(OR($B31="",N($D$22)=0),"",O31/$D$22)</f>
        <v/>
      </c>
    </row>
    <row r="32" ht="19" customHeight="1">
      <c r="B32" s="62">
        <f>IF(Eelarve!B35="","",Eelarve!B35)</f>
        <v/>
      </c>
      <c r="C32" s="63">
        <f>IF($B32="","",SUMIFS(Tehingud!$E$8:$E$407,Tehingud!$D$8:$D$407,$B32,Tehingud!$B$8:$B$407,"&gt;="&amp;DATE($C$7,1,1),Tehingud!$B$8:$B$407,"&lt;"&amp;DATE($C$7,2,1)))</f>
        <v/>
      </c>
      <c r="D32" s="63">
        <f>IF($B32="","",SUMIFS(Tehingud!$E$8:$E$407,Tehingud!$D$8:$D$407,$B32,Tehingud!$B$8:$B$407,"&gt;="&amp;DATE($C$7,2,1),Tehingud!$B$8:$B$407,"&lt;"&amp;DATE($C$7,3,1)))</f>
        <v/>
      </c>
      <c r="E32" s="63">
        <f>IF($B32="","",SUMIFS(Tehingud!$E$8:$E$407,Tehingud!$D$8:$D$407,$B32,Tehingud!$B$8:$B$407,"&gt;="&amp;DATE($C$7,3,1),Tehingud!$B$8:$B$407,"&lt;"&amp;DATE($C$7,4,1)))</f>
        <v/>
      </c>
      <c r="F32" s="63">
        <f>IF($B32="","",SUMIFS(Tehingud!$E$8:$E$407,Tehingud!$D$8:$D$407,$B32,Tehingud!$B$8:$B$407,"&gt;="&amp;DATE($C$7,4,1),Tehingud!$B$8:$B$407,"&lt;"&amp;DATE($C$7,5,1)))</f>
        <v/>
      </c>
      <c r="G32" s="63">
        <f>IF($B32="","",SUMIFS(Tehingud!$E$8:$E$407,Tehingud!$D$8:$D$407,$B32,Tehingud!$B$8:$B$407,"&gt;="&amp;DATE($C$7,5,1),Tehingud!$B$8:$B$407,"&lt;"&amp;DATE($C$7,6,1)))</f>
        <v/>
      </c>
      <c r="H32" s="63">
        <f>IF($B32="","",SUMIFS(Tehingud!$E$8:$E$407,Tehingud!$D$8:$D$407,$B32,Tehingud!$B$8:$B$407,"&gt;="&amp;DATE($C$7,6,1),Tehingud!$B$8:$B$407,"&lt;"&amp;DATE($C$7,7,1)))</f>
        <v/>
      </c>
      <c r="I32" s="63">
        <f>IF($B32="","",SUMIFS(Tehingud!$E$8:$E$407,Tehingud!$D$8:$D$407,$B32,Tehingud!$B$8:$B$407,"&gt;="&amp;DATE($C$7,7,1),Tehingud!$B$8:$B$407,"&lt;"&amp;DATE($C$7,8,1)))</f>
        <v/>
      </c>
      <c r="J32" s="63">
        <f>IF($B32="","",SUMIFS(Tehingud!$E$8:$E$407,Tehingud!$D$8:$D$407,$B32,Tehingud!$B$8:$B$407,"&gt;="&amp;DATE($C$7,8,1),Tehingud!$B$8:$B$407,"&lt;"&amp;DATE($C$7,9,1)))</f>
        <v/>
      </c>
      <c r="K32" s="63">
        <f>IF($B32="","",SUMIFS(Tehingud!$E$8:$E$407,Tehingud!$D$8:$D$407,$B32,Tehingud!$B$8:$B$407,"&gt;="&amp;DATE($C$7,9,1),Tehingud!$B$8:$B$407,"&lt;"&amp;DATE($C$7,10,1)))</f>
        <v/>
      </c>
      <c r="L32" s="63">
        <f>IF($B32="","",SUMIFS(Tehingud!$E$8:$E$407,Tehingud!$D$8:$D$407,$B32,Tehingud!$B$8:$B$407,"&gt;="&amp;DATE($C$7,10,1),Tehingud!$B$8:$B$407,"&lt;"&amp;DATE($C$7,11,1)))</f>
        <v/>
      </c>
      <c r="M32" s="63">
        <f>IF($B32="","",SUMIFS(Tehingud!$E$8:$E$407,Tehingud!$D$8:$D$407,$B32,Tehingud!$B$8:$B$407,"&gt;="&amp;DATE($C$7,11,1),Tehingud!$B$8:$B$407,"&lt;"&amp;DATE($C$7,12,1)))</f>
        <v/>
      </c>
      <c r="N32" s="63">
        <f>IF($B32="","",SUMIFS(Tehingud!$E$8:$E$407,Tehingud!$D$8:$D$407,$B32,Tehingud!$B$8:$B$407,"&gt;="&amp;DATE($C$7,12,1),Tehingud!$B$8:$B$407,"&lt;"&amp;DATE($C$7,13,1)))</f>
        <v/>
      </c>
      <c r="O32" s="64">
        <f>IF($B32="","",SUM(C32:N32))</f>
        <v/>
      </c>
      <c r="P32" s="65">
        <f>IF(OR($B32="",$F$23=""),"",O32/COUNTIF($C$10:$C$21,"&gt;0"))</f>
        <v/>
      </c>
      <c r="Q32" s="66">
        <f>IF(OR($B32="",N($D$22)=0),"",O32/$D$22)</f>
        <v/>
      </c>
    </row>
    <row r="33" ht="19" customHeight="1">
      <c r="B33" s="62">
        <f>IF(Eelarve!B36="","",Eelarve!B36)</f>
        <v/>
      </c>
      <c r="C33" s="63">
        <f>IF($B33="","",SUMIFS(Tehingud!$E$8:$E$407,Tehingud!$D$8:$D$407,$B33,Tehingud!$B$8:$B$407,"&gt;="&amp;DATE($C$7,1,1),Tehingud!$B$8:$B$407,"&lt;"&amp;DATE($C$7,2,1)))</f>
        <v/>
      </c>
      <c r="D33" s="63">
        <f>IF($B33="","",SUMIFS(Tehingud!$E$8:$E$407,Tehingud!$D$8:$D$407,$B33,Tehingud!$B$8:$B$407,"&gt;="&amp;DATE($C$7,2,1),Tehingud!$B$8:$B$407,"&lt;"&amp;DATE($C$7,3,1)))</f>
        <v/>
      </c>
      <c r="E33" s="63">
        <f>IF($B33="","",SUMIFS(Tehingud!$E$8:$E$407,Tehingud!$D$8:$D$407,$B33,Tehingud!$B$8:$B$407,"&gt;="&amp;DATE($C$7,3,1),Tehingud!$B$8:$B$407,"&lt;"&amp;DATE($C$7,4,1)))</f>
        <v/>
      </c>
      <c r="F33" s="63">
        <f>IF($B33="","",SUMIFS(Tehingud!$E$8:$E$407,Tehingud!$D$8:$D$407,$B33,Tehingud!$B$8:$B$407,"&gt;="&amp;DATE($C$7,4,1),Tehingud!$B$8:$B$407,"&lt;"&amp;DATE($C$7,5,1)))</f>
        <v/>
      </c>
      <c r="G33" s="63">
        <f>IF($B33="","",SUMIFS(Tehingud!$E$8:$E$407,Tehingud!$D$8:$D$407,$B33,Tehingud!$B$8:$B$407,"&gt;="&amp;DATE($C$7,5,1),Tehingud!$B$8:$B$407,"&lt;"&amp;DATE($C$7,6,1)))</f>
        <v/>
      </c>
      <c r="H33" s="63">
        <f>IF($B33="","",SUMIFS(Tehingud!$E$8:$E$407,Tehingud!$D$8:$D$407,$B33,Tehingud!$B$8:$B$407,"&gt;="&amp;DATE($C$7,6,1),Tehingud!$B$8:$B$407,"&lt;"&amp;DATE($C$7,7,1)))</f>
        <v/>
      </c>
      <c r="I33" s="63">
        <f>IF($B33="","",SUMIFS(Tehingud!$E$8:$E$407,Tehingud!$D$8:$D$407,$B33,Tehingud!$B$8:$B$407,"&gt;="&amp;DATE($C$7,7,1),Tehingud!$B$8:$B$407,"&lt;"&amp;DATE($C$7,8,1)))</f>
        <v/>
      </c>
      <c r="J33" s="63">
        <f>IF($B33="","",SUMIFS(Tehingud!$E$8:$E$407,Tehingud!$D$8:$D$407,$B33,Tehingud!$B$8:$B$407,"&gt;="&amp;DATE($C$7,8,1),Tehingud!$B$8:$B$407,"&lt;"&amp;DATE($C$7,9,1)))</f>
        <v/>
      </c>
      <c r="K33" s="63">
        <f>IF($B33="","",SUMIFS(Tehingud!$E$8:$E$407,Tehingud!$D$8:$D$407,$B33,Tehingud!$B$8:$B$407,"&gt;="&amp;DATE($C$7,9,1),Tehingud!$B$8:$B$407,"&lt;"&amp;DATE($C$7,10,1)))</f>
        <v/>
      </c>
      <c r="L33" s="63">
        <f>IF($B33="","",SUMIFS(Tehingud!$E$8:$E$407,Tehingud!$D$8:$D$407,$B33,Tehingud!$B$8:$B$407,"&gt;="&amp;DATE($C$7,10,1),Tehingud!$B$8:$B$407,"&lt;"&amp;DATE($C$7,11,1)))</f>
        <v/>
      </c>
      <c r="M33" s="63">
        <f>IF($B33="","",SUMIFS(Tehingud!$E$8:$E$407,Tehingud!$D$8:$D$407,$B33,Tehingud!$B$8:$B$407,"&gt;="&amp;DATE($C$7,11,1),Tehingud!$B$8:$B$407,"&lt;"&amp;DATE($C$7,12,1)))</f>
        <v/>
      </c>
      <c r="N33" s="63">
        <f>IF($B33="","",SUMIFS(Tehingud!$E$8:$E$407,Tehingud!$D$8:$D$407,$B33,Tehingud!$B$8:$B$407,"&gt;="&amp;DATE($C$7,12,1),Tehingud!$B$8:$B$407,"&lt;"&amp;DATE($C$7,13,1)))</f>
        <v/>
      </c>
      <c r="O33" s="64">
        <f>IF($B33="","",SUM(C33:N33))</f>
        <v/>
      </c>
      <c r="P33" s="65">
        <f>IF(OR($B33="",$F$23=""),"",O33/COUNTIF($C$10:$C$21,"&gt;0"))</f>
        <v/>
      </c>
      <c r="Q33" s="66">
        <f>IF(OR($B33="",N($D$22)=0),"",O33/$D$22)</f>
        <v/>
      </c>
    </row>
    <row r="34" ht="19" customHeight="1">
      <c r="B34" s="62">
        <f>IF(Eelarve!B37="","",Eelarve!B37)</f>
        <v/>
      </c>
      <c r="C34" s="63">
        <f>IF($B34="","",SUMIFS(Tehingud!$E$8:$E$407,Tehingud!$D$8:$D$407,$B34,Tehingud!$B$8:$B$407,"&gt;="&amp;DATE($C$7,1,1),Tehingud!$B$8:$B$407,"&lt;"&amp;DATE($C$7,2,1)))</f>
        <v/>
      </c>
      <c r="D34" s="63">
        <f>IF($B34="","",SUMIFS(Tehingud!$E$8:$E$407,Tehingud!$D$8:$D$407,$B34,Tehingud!$B$8:$B$407,"&gt;="&amp;DATE($C$7,2,1),Tehingud!$B$8:$B$407,"&lt;"&amp;DATE($C$7,3,1)))</f>
        <v/>
      </c>
      <c r="E34" s="63">
        <f>IF($B34="","",SUMIFS(Tehingud!$E$8:$E$407,Tehingud!$D$8:$D$407,$B34,Tehingud!$B$8:$B$407,"&gt;="&amp;DATE($C$7,3,1),Tehingud!$B$8:$B$407,"&lt;"&amp;DATE($C$7,4,1)))</f>
        <v/>
      </c>
      <c r="F34" s="63">
        <f>IF($B34="","",SUMIFS(Tehingud!$E$8:$E$407,Tehingud!$D$8:$D$407,$B34,Tehingud!$B$8:$B$407,"&gt;="&amp;DATE($C$7,4,1),Tehingud!$B$8:$B$407,"&lt;"&amp;DATE($C$7,5,1)))</f>
        <v/>
      </c>
      <c r="G34" s="63">
        <f>IF($B34="","",SUMIFS(Tehingud!$E$8:$E$407,Tehingud!$D$8:$D$407,$B34,Tehingud!$B$8:$B$407,"&gt;="&amp;DATE($C$7,5,1),Tehingud!$B$8:$B$407,"&lt;"&amp;DATE($C$7,6,1)))</f>
        <v/>
      </c>
      <c r="H34" s="63">
        <f>IF($B34="","",SUMIFS(Tehingud!$E$8:$E$407,Tehingud!$D$8:$D$407,$B34,Tehingud!$B$8:$B$407,"&gt;="&amp;DATE($C$7,6,1),Tehingud!$B$8:$B$407,"&lt;"&amp;DATE($C$7,7,1)))</f>
        <v/>
      </c>
      <c r="I34" s="63">
        <f>IF($B34="","",SUMIFS(Tehingud!$E$8:$E$407,Tehingud!$D$8:$D$407,$B34,Tehingud!$B$8:$B$407,"&gt;="&amp;DATE($C$7,7,1),Tehingud!$B$8:$B$407,"&lt;"&amp;DATE($C$7,8,1)))</f>
        <v/>
      </c>
      <c r="J34" s="63">
        <f>IF($B34="","",SUMIFS(Tehingud!$E$8:$E$407,Tehingud!$D$8:$D$407,$B34,Tehingud!$B$8:$B$407,"&gt;="&amp;DATE($C$7,8,1),Tehingud!$B$8:$B$407,"&lt;"&amp;DATE($C$7,9,1)))</f>
        <v/>
      </c>
      <c r="K34" s="63">
        <f>IF($B34="","",SUMIFS(Tehingud!$E$8:$E$407,Tehingud!$D$8:$D$407,$B34,Tehingud!$B$8:$B$407,"&gt;="&amp;DATE($C$7,9,1),Tehingud!$B$8:$B$407,"&lt;"&amp;DATE($C$7,10,1)))</f>
        <v/>
      </c>
      <c r="L34" s="63">
        <f>IF($B34="","",SUMIFS(Tehingud!$E$8:$E$407,Tehingud!$D$8:$D$407,$B34,Tehingud!$B$8:$B$407,"&gt;="&amp;DATE($C$7,10,1),Tehingud!$B$8:$B$407,"&lt;"&amp;DATE($C$7,11,1)))</f>
        <v/>
      </c>
      <c r="M34" s="63">
        <f>IF($B34="","",SUMIFS(Tehingud!$E$8:$E$407,Tehingud!$D$8:$D$407,$B34,Tehingud!$B$8:$B$407,"&gt;="&amp;DATE($C$7,11,1),Tehingud!$B$8:$B$407,"&lt;"&amp;DATE($C$7,12,1)))</f>
        <v/>
      </c>
      <c r="N34" s="63">
        <f>IF($B34="","",SUMIFS(Tehingud!$E$8:$E$407,Tehingud!$D$8:$D$407,$B34,Tehingud!$B$8:$B$407,"&gt;="&amp;DATE($C$7,12,1),Tehingud!$B$8:$B$407,"&lt;"&amp;DATE($C$7,13,1)))</f>
        <v/>
      </c>
      <c r="O34" s="64">
        <f>IF($B34="","",SUM(C34:N34))</f>
        <v/>
      </c>
      <c r="P34" s="65">
        <f>IF(OR($B34="",$F$23=""),"",O34/COUNTIF($C$10:$C$21,"&gt;0"))</f>
        <v/>
      </c>
      <c r="Q34" s="66">
        <f>IF(OR($B34="",N($D$22)=0),"",O34/$D$22)</f>
        <v/>
      </c>
    </row>
    <row r="35" ht="19" customHeight="1">
      <c r="B35" s="62">
        <f>IF(Eelarve!B38="","",Eelarve!B38)</f>
        <v/>
      </c>
      <c r="C35" s="63">
        <f>IF($B35="","",SUMIFS(Tehingud!$E$8:$E$407,Tehingud!$D$8:$D$407,$B35,Tehingud!$B$8:$B$407,"&gt;="&amp;DATE($C$7,1,1),Tehingud!$B$8:$B$407,"&lt;"&amp;DATE($C$7,2,1)))</f>
        <v/>
      </c>
      <c r="D35" s="63">
        <f>IF($B35="","",SUMIFS(Tehingud!$E$8:$E$407,Tehingud!$D$8:$D$407,$B35,Tehingud!$B$8:$B$407,"&gt;="&amp;DATE($C$7,2,1),Tehingud!$B$8:$B$407,"&lt;"&amp;DATE($C$7,3,1)))</f>
        <v/>
      </c>
      <c r="E35" s="63">
        <f>IF($B35="","",SUMIFS(Tehingud!$E$8:$E$407,Tehingud!$D$8:$D$407,$B35,Tehingud!$B$8:$B$407,"&gt;="&amp;DATE($C$7,3,1),Tehingud!$B$8:$B$407,"&lt;"&amp;DATE($C$7,4,1)))</f>
        <v/>
      </c>
      <c r="F35" s="63">
        <f>IF($B35="","",SUMIFS(Tehingud!$E$8:$E$407,Tehingud!$D$8:$D$407,$B35,Tehingud!$B$8:$B$407,"&gt;="&amp;DATE($C$7,4,1),Tehingud!$B$8:$B$407,"&lt;"&amp;DATE($C$7,5,1)))</f>
        <v/>
      </c>
      <c r="G35" s="63">
        <f>IF($B35="","",SUMIFS(Tehingud!$E$8:$E$407,Tehingud!$D$8:$D$407,$B35,Tehingud!$B$8:$B$407,"&gt;="&amp;DATE($C$7,5,1),Tehingud!$B$8:$B$407,"&lt;"&amp;DATE($C$7,6,1)))</f>
        <v/>
      </c>
      <c r="H35" s="63">
        <f>IF($B35="","",SUMIFS(Tehingud!$E$8:$E$407,Tehingud!$D$8:$D$407,$B35,Tehingud!$B$8:$B$407,"&gt;="&amp;DATE($C$7,6,1),Tehingud!$B$8:$B$407,"&lt;"&amp;DATE($C$7,7,1)))</f>
        <v/>
      </c>
      <c r="I35" s="63">
        <f>IF($B35="","",SUMIFS(Tehingud!$E$8:$E$407,Tehingud!$D$8:$D$407,$B35,Tehingud!$B$8:$B$407,"&gt;="&amp;DATE($C$7,7,1),Tehingud!$B$8:$B$407,"&lt;"&amp;DATE($C$7,8,1)))</f>
        <v/>
      </c>
      <c r="J35" s="63">
        <f>IF($B35="","",SUMIFS(Tehingud!$E$8:$E$407,Tehingud!$D$8:$D$407,$B35,Tehingud!$B$8:$B$407,"&gt;="&amp;DATE($C$7,8,1),Tehingud!$B$8:$B$407,"&lt;"&amp;DATE($C$7,9,1)))</f>
        <v/>
      </c>
      <c r="K35" s="63">
        <f>IF($B35="","",SUMIFS(Tehingud!$E$8:$E$407,Tehingud!$D$8:$D$407,$B35,Tehingud!$B$8:$B$407,"&gt;="&amp;DATE($C$7,9,1),Tehingud!$B$8:$B$407,"&lt;"&amp;DATE($C$7,10,1)))</f>
        <v/>
      </c>
      <c r="L35" s="63">
        <f>IF($B35="","",SUMIFS(Tehingud!$E$8:$E$407,Tehingud!$D$8:$D$407,$B35,Tehingud!$B$8:$B$407,"&gt;="&amp;DATE($C$7,10,1),Tehingud!$B$8:$B$407,"&lt;"&amp;DATE($C$7,11,1)))</f>
        <v/>
      </c>
      <c r="M35" s="63">
        <f>IF($B35="","",SUMIFS(Tehingud!$E$8:$E$407,Tehingud!$D$8:$D$407,$B35,Tehingud!$B$8:$B$407,"&gt;="&amp;DATE($C$7,11,1),Tehingud!$B$8:$B$407,"&lt;"&amp;DATE($C$7,12,1)))</f>
        <v/>
      </c>
      <c r="N35" s="63">
        <f>IF($B35="","",SUMIFS(Tehingud!$E$8:$E$407,Tehingud!$D$8:$D$407,$B35,Tehingud!$B$8:$B$407,"&gt;="&amp;DATE($C$7,12,1),Tehingud!$B$8:$B$407,"&lt;"&amp;DATE($C$7,13,1)))</f>
        <v/>
      </c>
      <c r="O35" s="64">
        <f>IF($B35="","",SUM(C35:N35))</f>
        <v/>
      </c>
      <c r="P35" s="65">
        <f>IF(OR($B35="",$F$23=""),"",O35/COUNTIF($C$10:$C$21,"&gt;0"))</f>
        <v/>
      </c>
      <c r="Q35" s="66">
        <f>IF(OR($B35="",N($D$22)=0),"",O35/$D$22)</f>
        <v/>
      </c>
    </row>
    <row r="36" ht="19" customHeight="1">
      <c r="B36" s="62">
        <f>IF(Eelarve!B39="","",Eelarve!B39)</f>
        <v/>
      </c>
      <c r="C36" s="63">
        <f>IF($B36="","",SUMIFS(Tehingud!$E$8:$E$407,Tehingud!$D$8:$D$407,$B36,Tehingud!$B$8:$B$407,"&gt;="&amp;DATE($C$7,1,1),Tehingud!$B$8:$B$407,"&lt;"&amp;DATE($C$7,2,1)))</f>
        <v/>
      </c>
      <c r="D36" s="63">
        <f>IF($B36="","",SUMIFS(Tehingud!$E$8:$E$407,Tehingud!$D$8:$D$407,$B36,Tehingud!$B$8:$B$407,"&gt;="&amp;DATE($C$7,2,1),Tehingud!$B$8:$B$407,"&lt;"&amp;DATE($C$7,3,1)))</f>
        <v/>
      </c>
      <c r="E36" s="63">
        <f>IF($B36="","",SUMIFS(Tehingud!$E$8:$E$407,Tehingud!$D$8:$D$407,$B36,Tehingud!$B$8:$B$407,"&gt;="&amp;DATE($C$7,3,1),Tehingud!$B$8:$B$407,"&lt;"&amp;DATE($C$7,4,1)))</f>
        <v/>
      </c>
      <c r="F36" s="63">
        <f>IF($B36="","",SUMIFS(Tehingud!$E$8:$E$407,Tehingud!$D$8:$D$407,$B36,Tehingud!$B$8:$B$407,"&gt;="&amp;DATE($C$7,4,1),Tehingud!$B$8:$B$407,"&lt;"&amp;DATE($C$7,5,1)))</f>
        <v/>
      </c>
      <c r="G36" s="63">
        <f>IF($B36="","",SUMIFS(Tehingud!$E$8:$E$407,Tehingud!$D$8:$D$407,$B36,Tehingud!$B$8:$B$407,"&gt;="&amp;DATE($C$7,5,1),Tehingud!$B$8:$B$407,"&lt;"&amp;DATE($C$7,6,1)))</f>
        <v/>
      </c>
      <c r="H36" s="63">
        <f>IF($B36="","",SUMIFS(Tehingud!$E$8:$E$407,Tehingud!$D$8:$D$407,$B36,Tehingud!$B$8:$B$407,"&gt;="&amp;DATE($C$7,6,1),Tehingud!$B$8:$B$407,"&lt;"&amp;DATE($C$7,7,1)))</f>
        <v/>
      </c>
      <c r="I36" s="63">
        <f>IF($B36="","",SUMIFS(Tehingud!$E$8:$E$407,Tehingud!$D$8:$D$407,$B36,Tehingud!$B$8:$B$407,"&gt;="&amp;DATE($C$7,7,1),Tehingud!$B$8:$B$407,"&lt;"&amp;DATE($C$7,8,1)))</f>
        <v/>
      </c>
      <c r="J36" s="63">
        <f>IF($B36="","",SUMIFS(Tehingud!$E$8:$E$407,Tehingud!$D$8:$D$407,$B36,Tehingud!$B$8:$B$407,"&gt;="&amp;DATE($C$7,8,1),Tehingud!$B$8:$B$407,"&lt;"&amp;DATE($C$7,9,1)))</f>
        <v/>
      </c>
      <c r="K36" s="63">
        <f>IF($B36="","",SUMIFS(Tehingud!$E$8:$E$407,Tehingud!$D$8:$D$407,$B36,Tehingud!$B$8:$B$407,"&gt;="&amp;DATE($C$7,9,1),Tehingud!$B$8:$B$407,"&lt;"&amp;DATE($C$7,10,1)))</f>
        <v/>
      </c>
      <c r="L36" s="63">
        <f>IF($B36="","",SUMIFS(Tehingud!$E$8:$E$407,Tehingud!$D$8:$D$407,$B36,Tehingud!$B$8:$B$407,"&gt;="&amp;DATE($C$7,10,1),Tehingud!$B$8:$B$407,"&lt;"&amp;DATE($C$7,11,1)))</f>
        <v/>
      </c>
      <c r="M36" s="63">
        <f>IF($B36="","",SUMIFS(Tehingud!$E$8:$E$407,Tehingud!$D$8:$D$407,$B36,Tehingud!$B$8:$B$407,"&gt;="&amp;DATE($C$7,11,1),Tehingud!$B$8:$B$407,"&lt;"&amp;DATE($C$7,12,1)))</f>
        <v/>
      </c>
      <c r="N36" s="63">
        <f>IF($B36="","",SUMIFS(Tehingud!$E$8:$E$407,Tehingud!$D$8:$D$407,$B36,Tehingud!$B$8:$B$407,"&gt;="&amp;DATE($C$7,12,1),Tehingud!$B$8:$B$407,"&lt;"&amp;DATE($C$7,13,1)))</f>
        <v/>
      </c>
      <c r="O36" s="64">
        <f>IF($B36="","",SUM(C36:N36))</f>
        <v/>
      </c>
      <c r="P36" s="65">
        <f>IF(OR($B36="",$F$23=""),"",O36/COUNTIF($C$10:$C$21,"&gt;0"))</f>
        <v/>
      </c>
      <c r="Q36" s="66">
        <f>IF(OR($B36="",N($D$22)=0),"",O36/$D$22)</f>
        <v/>
      </c>
    </row>
    <row r="37" ht="19" customHeight="1">
      <c r="B37" s="62">
        <f>IF(Eelarve!B40="","",Eelarve!B40)</f>
        <v/>
      </c>
      <c r="C37" s="63">
        <f>IF($B37="","",SUMIFS(Tehingud!$E$8:$E$407,Tehingud!$D$8:$D$407,$B37,Tehingud!$B$8:$B$407,"&gt;="&amp;DATE($C$7,1,1),Tehingud!$B$8:$B$407,"&lt;"&amp;DATE($C$7,2,1)))</f>
        <v/>
      </c>
      <c r="D37" s="63">
        <f>IF($B37="","",SUMIFS(Tehingud!$E$8:$E$407,Tehingud!$D$8:$D$407,$B37,Tehingud!$B$8:$B$407,"&gt;="&amp;DATE($C$7,2,1),Tehingud!$B$8:$B$407,"&lt;"&amp;DATE($C$7,3,1)))</f>
        <v/>
      </c>
      <c r="E37" s="63">
        <f>IF($B37="","",SUMIFS(Tehingud!$E$8:$E$407,Tehingud!$D$8:$D$407,$B37,Tehingud!$B$8:$B$407,"&gt;="&amp;DATE($C$7,3,1),Tehingud!$B$8:$B$407,"&lt;"&amp;DATE($C$7,4,1)))</f>
        <v/>
      </c>
      <c r="F37" s="63">
        <f>IF($B37="","",SUMIFS(Tehingud!$E$8:$E$407,Tehingud!$D$8:$D$407,$B37,Tehingud!$B$8:$B$407,"&gt;="&amp;DATE($C$7,4,1),Tehingud!$B$8:$B$407,"&lt;"&amp;DATE($C$7,5,1)))</f>
        <v/>
      </c>
      <c r="G37" s="63">
        <f>IF($B37="","",SUMIFS(Tehingud!$E$8:$E$407,Tehingud!$D$8:$D$407,$B37,Tehingud!$B$8:$B$407,"&gt;="&amp;DATE($C$7,5,1),Tehingud!$B$8:$B$407,"&lt;"&amp;DATE($C$7,6,1)))</f>
        <v/>
      </c>
      <c r="H37" s="63">
        <f>IF($B37="","",SUMIFS(Tehingud!$E$8:$E$407,Tehingud!$D$8:$D$407,$B37,Tehingud!$B$8:$B$407,"&gt;="&amp;DATE($C$7,6,1),Tehingud!$B$8:$B$407,"&lt;"&amp;DATE($C$7,7,1)))</f>
        <v/>
      </c>
      <c r="I37" s="63">
        <f>IF($B37="","",SUMIFS(Tehingud!$E$8:$E$407,Tehingud!$D$8:$D$407,$B37,Tehingud!$B$8:$B$407,"&gt;="&amp;DATE($C$7,7,1),Tehingud!$B$8:$B$407,"&lt;"&amp;DATE($C$7,8,1)))</f>
        <v/>
      </c>
      <c r="J37" s="63">
        <f>IF($B37="","",SUMIFS(Tehingud!$E$8:$E$407,Tehingud!$D$8:$D$407,$B37,Tehingud!$B$8:$B$407,"&gt;="&amp;DATE($C$7,8,1),Tehingud!$B$8:$B$407,"&lt;"&amp;DATE($C$7,9,1)))</f>
        <v/>
      </c>
      <c r="K37" s="63">
        <f>IF($B37="","",SUMIFS(Tehingud!$E$8:$E$407,Tehingud!$D$8:$D$407,$B37,Tehingud!$B$8:$B$407,"&gt;="&amp;DATE($C$7,9,1),Tehingud!$B$8:$B$407,"&lt;"&amp;DATE($C$7,10,1)))</f>
        <v/>
      </c>
      <c r="L37" s="63">
        <f>IF($B37="","",SUMIFS(Tehingud!$E$8:$E$407,Tehingud!$D$8:$D$407,$B37,Tehingud!$B$8:$B$407,"&gt;="&amp;DATE($C$7,10,1),Tehingud!$B$8:$B$407,"&lt;"&amp;DATE($C$7,11,1)))</f>
        <v/>
      </c>
      <c r="M37" s="63">
        <f>IF($B37="","",SUMIFS(Tehingud!$E$8:$E$407,Tehingud!$D$8:$D$407,$B37,Tehingud!$B$8:$B$407,"&gt;="&amp;DATE($C$7,11,1),Tehingud!$B$8:$B$407,"&lt;"&amp;DATE($C$7,12,1)))</f>
        <v/>
      </c>
      <c r="N37" s="63">
        <f>IF($B37="","",SUMIFS(Tehingud!$E$8:$E$407,Tehingud!$D$8:$D$407,$B37,Tehingud!$B$8:$B$407,"&gt;="&amp;DATE($C$7,12,1),Tehingud!$B$8:$B$407,"&lt;"&amp;DATE($C$7,13,1)))</f>
        <v/>
      </c>
      <c r="O37" s="64">
        <f>IF($B37="","",SUM(C37:N37))</f>
        <v/>
      </c>
      <c r="P37" s="65">
        <f>IF(OR($B37="",$F$23=""),"",O37/COUNTIF($C$10:$C$21,"&gt;0"))</f>
        <v/>
      </c>
      <c r="Q37" s="66">
        <f>IF(OR($B37="",N($D$22)=0),"",O37/$D$22)</f>
        <v/>
      </c>
    </row>
    <row r="38" ht="19" customHeight="1">
      <c r="B38" s="62">
        <f>IF(Eelarve!B41="","",Eelarve!B41)</f>
        <v/>
      </c>
      <c r="C38" s="63">
        <f>IF($B38="","",SUMIFS(Tehingud!$E$8:$E$407,Tehingud!$D$8:$D$407,$B38,Tehingud!$B$8:$B$407,"&gt;="&amp;DATE($C$7,1,1),Tehingud!$B$8:$B$407,"&lt;"&amp;DATE($C$7,2,1)))</f>
        <v/>
      </c>
      <c r="D38" s="63">
        <f>IF($B38="","",SUMIFS(Tehingud!$E$8:$E$407,Tehingud!$D$8:$D$407,$B38,Tehingud!$B$8:$B$407,"&gt;="&amp;DATE($C$7,2,1),Tehingud!$B$8:$B$407,"&lt;"&amp;DATE($C$7,3,1)))</f>
        <v/>
      </c>
      <c r="E38" s="63">
        <f>IF($B38="","",SUMIFS(Tehingud!$E$8:$E$407,Tehingud!$D$8:$D$407,$B38,Tehingud!$B$8:$B$407,"&gt;="&amp;DATE($C$7,3,1),Tehingud!$B$8:$B$407,"&lt;"&amp;DATE($C$7,4,1)))</f>
        <v/>
      </c>
      <c r="F38" s="63">
        <f>IF($B38="","",SUMIFS(Tehingud!$E$8:$E$407,Tehingud!$D$8:$D$407,$B38,Tehingud!$B$8:$B$407,"&gt;="&amp;DATE($C$7,4,1),Tehingud!$B$8:$B$407,"&lt;"&amp;DATE($C$7,5,1)))</f>
        <v/>
      </c>
      <c r="G38" s="63">
        <f>IF($B38="","",SUMIFS(Tehingud!$E$8:$E$407,Tehingud!$D$8:$D$407,$B38,Tehingud!$B$8:$B$407,"&gt;="&amp;DATE($C$7,5,1),Tehingud!$B$8:$B$407,"&lt;"&amp;DATE($C$7,6,1)))</f>
        <v/>
      </c>
      <c r="H38" s="63">
        <f>IF($B38="","",SUMIFS(Tehingud!$E$8:$E$407,Tehingud!$D$8:$D$407,$B38,Tehingud!$B$8:$B$407,"&gt;="&amp;DATE($C$7,6,1),Tehingud!$B$8:$B$407,"&lt;"&amp;DATE($C$7,7,1)))</f>
        <v/>
      </c>
      <c r="I38" s="63">
        <f>IF($B38="","",SUMIFS(Tehingud!$E$8:$E$407,Tehingud!$D$8:$D$407,$B38,Tehingud!$B$8:$B$407,"&gt;="&amp;DATE($C$7,7,1),Tehingud!$B$8:$B$407,"&lt;"&amp;DATE($C$7,8,1)))</f>
        <v/>
      </c>
      <c r="J38" s="63">
        <f>IF($B38="","",SUMIFS(Tehingud!$E$8:$E$407,Tehingud!$D$8:$D$407,$B38,Tehingud!$B$8:$B$407,"&gt;="&amp;DATE($C$7,8,1),Tehingud!$B$8:$B$407,"&lt;"&amp;DATE($C$7,9,1)))</f>
        <v/>
      </c>
      <c r="K38" s="63">
        <f>IF($B38="","",SUMIFS(Tehingud!$E$8:$E$407,Tehingud!$D$8:$D$407,$B38,Tehingud!$B$8:$B$407,"&gt;="&amp;DATE($C$7,9,1),Tehingud!$B$8:$B$407,"&lt;"&amp;DATE($C$7,10,1)))</f>
        <v/>
      </c>
      <c r="L38" s="63">
        <f>IF($B38="","",SUMIFS(Tehingud!$E$8:$E$407,Tehingud!$D$8:$D$407,$B38,Tehingud!$B$8:$B$407,"&gt;="&amp;DATE($C$7,10,1),Tehingud!$B$8:$B$407,"&lt;"&amp;DATE($C$7,11,1)))</f>
        <v/>
      </c>
      <c r="M38" s="63">
        <f>IF($B38="","",SUMIFS(Tehingud!$E$8:$E$407,Tehingud!$D$8:$D$407,$B38,Tehingud!$B$8:$B$407,"&gt;="&amp;DATE($C$7,11,1),Tehingud!$B$8:$B$407,"&lt;"&amp;DATE($C$7,12,1)))</f>
        <v/>
      </c>
      <c r="N38" s="63">
        <f>IF($B38="","",SUMIFS(Tehingud!$E$8:$E$407,Tehingud!$D$8:$D$407,$B38,Tehingud!$B$8:$B$407,"&gt;="&amp;DATE($C$7,12,1),Tehingud!$B$8:$B$407,"&lt;"&amp;DATE($C$7,13,1)))</f>
        <v/>
      </c>
      <c r="O38" s="64">
        <f>IF($B38="","",SUM(C38:N38))</f>
        <v/>
      </c>
      <c r="P38" s="65">
        <f>IF(OR($B38="",$F$23=""),"",O38/COUNTIF($C$10:$C$21,"&gt;0"))</f>
        <v/>
      </c>
      <c r="Q38" s="66">
        <f>IF(OR($B38="",N($D$22)=0),"",O38/$D$22)</f>
        <v/>
      </c>
    </row>
    <row r="39" ht="19" customHeight="1">
      <c r="B39" s="62">
        <f>IF(Eelarve!B42="","",Eelarve!B42)</f>
        <v/>
      </c>
      <c r="C39" s="63">
        <f>IF($B39="","",SUMIFS(Tehingud!$E$8:$E$407,Tehingud!$D$8:$D$407,$B39,Tehingud!$B$8:$B$407,"&gt;="&amp;DATE($C$7,1,1),Tehingud!$B$8:$B$407,"&lt;"&amp;DATE($C$7,2,1)))</f>
        <v/>
      </c>
      <c r="D39" s="63">
        <f>IF($B39="","",SUMIFS(Tehingud!$E$8:$E$407,Tehingud!$D$8:$D$407,$B39,Tehingud!$B$8:$B$407,"&gt;="&amp;DATE($C$7,2,1),Tehingud!$B$8:$B$407,"&lt;"&amp;DATE($C$7,3,1)))</f>
        <v/>
      </c>
      <c r="E39" s="63">
        <f>IF($B39="","",SUMIFS(Tehingud!$E$8:$E$407,Tehingud!$D$8:$D$407,$B39,Tehingud!$B$8:$B$407,"&gt;="&amp;DATE($C$7,3,1),Tehingud!$B$8:$B$407,"&lt;"&amp;DATE($C$7,4,1)))</f>
        <v/>
      </c>
      <c r="F39" s="63">
        <f>IF($B39="","",SUMIFS(Tehingud!$E$8:$E$407,Tehingud!$D$8:$D$407,$B39,Tehingud!$B$8:$B$407,"&gt;="&amp;DATE($C$7,4,1),Tehingud!$B$8:$B$407,"&lt;"&amp;DATE($C$7,5,1)))</f>
        <v/>
      </c>
      <c r="G39" s="63">
        <f>IF($B39="","",SUMIFS(Tehingud!$E$8:$E$407,Tehingud!$D$8:$D$407,$B39,Tehingud!$B$8:$B$407,"&gt;="&amp;DATE($C$7,5,1),Tehingud!$B$8:$B$407,"&lt;"&amp;DATE($C$7,6,1)))</f>
        <v/>
      </c>
      <c r="H39" s="63">
        <f>IF($B39="","",SUMIFS(Tehingud!$E$8:$E$407,Tehingud!$D$8:$D$407,$B39,Tehingud!$B$8:$B$407,"&gt;="&amp;DATE($C$7,6,1),Tehingud!$B$8:$B$407,"&lt;"&amp;DATE($C$7,7,1)))</f>
        <v/>
      </c>
      <c r="I39" s="63">
        <f>IF($B39="","",SUMIFS(Tehingud!$E$8:$E$407,Tehingud!$D$8:$D$407,$B39,Tehingud!$B$8:$B$407,"&gt;="&amp;DATE($C$7,7,1),Tehingud!$B$8:$B$407,"&lt;"&amp;DATE($C$7,8,1)))</f>
        <v/>
      </c>
      <c r="J39" s="63">
        <f>IF($B39="","",SUMIFS(Tehingud!$E$8:$E$407,Tehingud!$D$8:$D$407,$B39,Tehingud!$B$8:$B$407,"&gt;="&amp;DATE($C$7,8,1),Tehingud!$B$8:$B$407,"&lt;"&amp;DATE($C$7,9,1)))</f>
        <v/>
      </c>
      <c r="K39" s="63">
        <f>IF($B39="","",SUMIFS(Tehingud!$E$8:$E$407,Tehingud!$D$8:$D$407,$B39,Tehingud!$B$8:$B$407,"&gt;="&amp;DATE($C$7,9,1),Tehingud!$B$8:$B$407,"&lt;"&amp;DATE($C$7,10,1)))</f>
        <v/>
      </c>
      <c r="L39" s="63">
        <f>IF($B39="","",SUMIFS(Tehingud!$E$8:$E$407,Tehingud!$D$8:$D$407,$B39,Tehingud!$B$8:$B$407,"&gt;="&amp;DATE($C$7,10,1),Tehingud!$B$8:$B$407,"&lt;"&amp;DATE($C$7,11,1)))</f>
        <v/>
      </c>
      <c r="M39" s="63">
        <f>IF($B39="","",SUMIFS(Tehingud!$E$8:$E$407,Tehingud!$D$8:$D$407,$B39,Tehingud!$B$8:$B$407,"&gt;="&amp;DATE($C$7,11,1),Tehingud!$B$8:$B$407,"&lt;"&amp;DATE($C$7,12,1)))</f>
        <v/>
      </c>
      <c r="N39" s="63">
        <f>IF($B39="","",SUMIFS(Tehingud!$E$8:$E$407,Tehingud!$D$8:$D$407,$B39,Tehingud!$B$8:$B$407,"&gt;="&amp;DATE($C$7,12,1),Tehingud!$B$8:$B$407,"&lt;"&amp;DATE($C$7,13,1)))</f>
        <v/>
      </c>
      <c r="O39" s="64">
        <f>IF($B39="","",SUM(C39:N39))</f>
        <v/>
      </c>
      <c r="P39" s="65">
        <f>IF(OR($B39="",$F$23=""),"",O39/COUNTIF($C$10:$C$21,"&gt;0"))</f>
        <v/>
      </c>
      <c r="Q39" s="66">
        <f>IF(OR($B39="",N($D$22)=0),"",O39/$D$22)</f>
        <v/>
      </c>
    </row>
    <row r="40" ht="19" customHeight="1">
      <c r="B40" s="62">
        <f>IF(Eelarve!B43="","",Eelarve!B43)</f>
        <v/>
      </c>
      <c r="C40" s="63">
        <f>IF($B40="","",SUMIFS(Tehingud!$E$8:$E$407,Tehingud!$D$8:$D$407,$B40,Tehingud!$B$8:$B$407,"&gt;="&amp;DATE($C$7,1,1),Tehingud!$B$8:$B$407,"&lt;"&amp;DATE($C$7,2,1)))</f>
        <v/>
      </c>
      <c r="D40" s="63">
        <f>IF($B40="","",SUMIFS(Tehingud!$E$8:$E$407,Tehingud!$D$8:$D$407,$B40,Tehingud!$B$8:$B$407,"&gt;="&amp;DATE($C$7,2,1),Tehingud!$B$8:$B$407,"&lt;"&amp;DATE($C$7,3,1)))</f>
        <v/>
      </c>
      <c r="E40" s="63">
        <f>IF($B40="","",SUMIFS(Tehingud!$E$8:$E$407,Tehingud!$D$8:$D$407,$B40,Tehingud!$B$8:$B$407,"&gt;="&amp;DATE($C$7,3,1),Tehingud!$B$8:$B$407,"&lt;"&amp;DATE($C$7,4,1)))</f>
        <v/>
      </c>
      <c r="F40" s="63">
        <f>IF($B40="","",SUMIFS(Tehingud!$E$8:$E$407,Tehingud!$D$8:$D$407,$B40,Tehingud!$B$8:$B$407,"&gt;="&amp;DATE($C$7,4,1),Tehingud!$B$8:$B$407,"&lt;"&amp;DATE($C$7,5,1)))</f>
        <v/>
      </c>
      <c r="G40" s="63">
        <f>IF($B40="","",SUMIFS(Tehingud!$E$8:$E$407,Tehingud!$D$8:$D$407,$B40,Tehingud!$B$8:$B$407,"&gt;="&amp;DATE($C$7,5,1),Tehingud!$B$8:$B$407,"&lt;"&amp;DATE($C$7,6,1)))</f>
        <v/>
      </c>
      <c r="H40" s="63">
        <f>IF($B40="","",SUMIFS(Tehingud!$E$8:$E$407,Tehingud!$D$8:$D$407,$B40,Tehingud!$B$8:$B$407,"&gt;="&amp;DATE($C$7,6,1),Tehingud!$B$8:$B$407,"&lt;"&amp;DATE($C$7,7,1)))</f>
        <v/>
      </c>
      <c r="I40" s="63">
        <f>IF($B40="","",SUMIFS(Tehingud!$E$8:$E$407,Tehingud!$D$8:$D$407,$B40,Tehingud!$B$8:$B$407,"&gt;="&amp;DATE($C$7,7,1),Tehingud!$B$8:$B$407,"&lt;"&amp;DATE($C$7,8,1)))</f>
        <v/>
      </c>
      <c r="J40" s="63">
        <f>IF($B40="","",SUMIFS(Tehingud!$E$8:$E$407,Tehingud!$D$8:$D$407,$B40,Tehingud!$B$8:$B$407,"&gt;="&amp;DATE($C$7,8,1),Tehingud!$B$8:$B$407,"&lt;"&amp;DATE($C$7,9,1)))</f>
        <v/>
      </c>
      <c r="K40" s="63">
        <f>IF($B40="","",SUMIFS(Tehingud!$E$8:$E$407,Tehingud!$D$8:$D$407,$B40,Tehingud!$B$8:$B$407,"&gt;="&amp;DATE($C$7,9,1),Tehingud!$B$8:$B$407,"&lt;"&amp;DATE($C$7,10,1)))</f>
        <v/>
      </c>
      <c r="L40" s="63">
        <f>IF($B40="","",SUMIFS(Tehingud!$E$8:$E$407,Tehingud!$D$8:$D$407,$B40,Tehingud!$B$8:$B$407,"&gt;="&amp;DATE($C$7,10,1),Tehingud!$B$8:$B$407,"&lt;"&amp;DATE($C$7,11,1)))</f>
        <v/>
      </c>
      <c r="M40" s="63">
        <f>IF($B40="","",SUMIFS(Tehingud!$E$8:$E$407,Tehingud!$D$8:$D$407,$B40,Tehingud!$B$8:$B$407,"&gt;="&amp;DATE($C$7,11,1),Tehingud!$B$8:$B$407,"&lt;"&amp;DATE($C$7,12,1)))</f>
        <v/>
      </c>
      <c r="N40" s="63">
        <f>IF($B40="","",SUMIFS(Tehingud!$E$8:$E$407,Tehingud!$D$8:$D$407,$B40,Tehingud!$B$8:$B$407,"&gt;="&amp;DATE($C$7,12,1),Tehingud!$B$8:$B$407,"&lt;"&amp;DATE($C$7,13,1)))</f>
        <v/>
      </c>
      <c r="O40" s="64">
        <f>IF($B40="","",SUM(C40:N40))</f>
        <v/>
      </c>
      <c r="P40" s="65">
        <f>IF(OR($B40="",$F$23=""),"",O40/COUNTIF($C$10:$C$21,"&gt;0"))</f>
        <v/>
      </c>
      <c r="Q40" s="66">
        <f>IF(OR($B40="",N($D$22)=0),"",O40/$D$22)</f>
        <v/>
      </c>
    </row>
    <row r="41" ht="19" customHeight="1">
      <c r="B41" s="62">
        <f>IF(Eelarve!B44="","",Eelarve!B44)</f>
        <v/>
      </c>
      <c r="C41" s="63">
        <f>IF($B41="","",SUMIFS(Tehingud!$E$8:$E$407,Tehingud!$D$8:$D$407,$B41,Tehingud!$B$8:$B$407,"&gt;="&amp;DATE($C$7,1,1),Tehingud!$B$8:$B$407,"&lt;"&amp;DATE($C$7,2,1)))</f>
        <v/>
      </c>
      <c r="D41" s="63">
        <f>IF($B41="","",SUMIFS(Tehingud!$E$8:$E$407,Tehingud!$D$8:$D$407,$B41,Tehingud!$B$8:$B$407,"&gt;="&amp;DATE($C$7,2,1),Tehingud!$B$8:$B$407,"&lt;"&amp;DATE($C$7,3,1)))</f>
        <v/>
      </c>
      <c r="E41" s="63">
        <f>IF($B41="","",SUMIFS(Tehingud!$E$8:$E$407,Tehingud!$D$8:$D$407,$B41,Tehingud!$B$8:$B$407,"&gt;="&amp;DATE($C$7,3,1),Tehingud!$B$8:$B$407,"&lt;"&amp;DATE($C$7,4,1)))</f>
        <v/>
      </c>
      <c r="F41" s="63">
        <f>IF($B41="","",SUMIFS(Tehingud!$E$8:$E$407,Tehingud!$D$8:$D$407,$B41,Tehingud!$B$8:$B$407,"&gt;="&amp;DATE($C$7,4,1),Tehingud!$B$8:$B$407,"&lt;"&amp;DATE($C$7,5,1)))</f>
        <v/>
      </c>
      <c r="G41" s="63">
        <f>IF($B41="","",SUMIFS(Tehingud!$E$8:$E$407,Tehingud!$D$8:$D$407,$B41,Tehingud!$B$8:$B$407,"&gt;="&amp;DATE($C$7,5,1),Tehingud!$B$8:$B$407,"&lt;"&amp;DATE($C$7,6,1)))</f>
        <v/>
      </c>
      <c r="H41" s="63">
        <f>IF($B41="","",SUMIFS(Tehingud!$E$8:$E$407,Tehingud!$D$8:$D$407,$B41,Tehingud!$B$8:$B$407,"&gt;="&amp;DATE($C$7,6,1),Tehingud!$B$8:$B$407,"&lt;"&amp;DATE($C$7,7,1)))</f>
        <v/>
      </c>
      <c r="I41" s="63">
        <f>IF($B41="","",SUMIFS(Tehingud!$E$8:$E$407,Tehingud!$D$8:$D$407,$B41,Tehingud!$B$8:$B$407,"&gt;="&amp;DATE($C$7,7,1),Tehingud!$B$8:$B$407,"&lt;"&amp;DATE($C$7,8,1)))</f>
        <v/>
      </c>
      <c r="J41" s="63">
        <f>IF($B41="","",SUMIFS(Tehingud!$E$8:$E$407,Tehingud!$D$8:$D$407,$B41,Tehingud!$B$8:$B$407,"&gt;="&amp;DATE($C$7,8,1),Tehingud!$B$8:$B$407,"&lt;"&amp;DATE($C$7,9,1)))</f>
        <v/>
      </c>
      <c r="K41" s="63">
        <f>IF($B41="","",SUMIFS(Tehingud!$E$8:$E$407,Tehingud!$D$8:$D$407,$B41,Tehingud!$B$8:$B$407,"&gt;="&amp;DATE($C$7,9,1),Tehingud!$B$8:$B$407,"&lt;"&amp;DATE($C$7,10,1)))</f>
        <v/>
      </c>
      <c r="L41" s="63">
        <f>IF($B41="","",SUMIFS(Tehingud!$E$8:$E$407,Tehingud!$D$8:$D$407,$B41,Tehingud!$B$8:$B$407,"&gt;="&amp;DATE($C$7,10,1),Tehingud!$B$8:$B$407,"&lt;"&amp;DATE($C$7,11,1)))</f>
        <v/>
      </c>
      <c r="M41" s="63">
        <f>IF($B41="","",SUMIFS(Tehingud!$E$8:$E$407,Tehingud!$D$8:$D$407,$B41,Tehingud!$B$8:$B$407,"&gt;="&amp;DATE($C$7,11,1),Tehingud!$B$8:$B$407,"&lt;"&amp;DATE($C$7,12,1)))</f>
        <v/>
      </c>
      <c r="N41" s="63">
        <f>IF($B41="","",SUMIFS(Tehingud!$E$8:$E$407,Tehingud!$D$8:$D$407,$B41,Tehingud!$B$8:$B$407,"&gt;="&amp;DATE($C$7,12,1),Tehingud!$B$8:$B$407,"&lt;"&amp;DATE($C$7,13,1)))</f>
        <v/>
      </c>
      <c r="O41" s="64">
        <f>IF($B41="","",SUM(C41:N41))</f>
        <v/>
      </c>
      <c r="P41" s="65">
        <f>IF(OR($B41="",$F$23=""),"",O41/COUNTIF($C$10:$C$21,"&gt;0"))</f>
        <v/>
      </c>
      <c r="Q41" s="66">
        <f>IF(OR($B41="",N($D$22)=0),"",O41/$D$22)</f>
        <v/>
      </c>
    </row>
    <row r="42" ht="19" customHeight="1">
      <c r="B42" s="62">
        <f>IF(Eelarve!B45="","",Eelarve!B45)</f>
        <v/>
      </c>
      <c r="C42" s="63">
        <f>IF($B42="","",SUMIFS(Tehingud!$E$8:$E$407,Tehingud!$D$8:$D$407,$B42,Tehingud!$B$8:$B$407,"&gt;="&amp;DATE($C$7,1,1),Tehingud!$B$8:$B$407,"&lt;"&amp;DATE($C$7,2,1)))</f>
        <v/>
      </c>
      <c r="D42" s="63">
        <f>IF($B42="","",SUMIFS(Tehingud!$E$8:$E$407,Tehingud!$D$8:$D$407,$B42,Tehingud!$B$8:$B$407,"&gt;="&amp;DATE($C$7,2,1),Tehingud!$B$8:$B$407,"&lt;"&amp;DATE($C$7,3,1)))</f>
        <v/>
      </c>
      <c r="E42" s="63">
        <f>IF($B42="","",SUMIFS(Tehingud!$E$8:$E$407,Tehingud!$D$8:$D$407,$B42,Tehingud!$B$8:$B$407,"&gt;="&amp;DATE($C$7,3,1),Tehingud!$B$8:$B$407,"&lt;"&amp;DATE($C$7,4,1)))</f>
        <v/>
      </c>
      <c r="F42" s="63">
        <f>IF($B42="","",SUMIFS(Tehingud!$E$8:$E$407,Tehingud!$D$8:$D$407,$B42,Tehingud!$B$8:$B$407,"&gt;="&amp;DATE($C$7,4,1),Tehingud!$B$8:$B$407,"&lt;"&amp;DATE($C$7,5,1)))</f>
        <v/>
      </c>
      <c r="G42" s="63">
        <f>IF($B42="","",SUMIFS(Tehingud!$E$8:$E$407,Tehingud!$D$8:$D$407,$B42,Tehingud!$B$8:$B$407,"&gt;="&amp;DATE($C$7,5,1),Tehingud!$B$8:$B$407,"&lt;"&amp;DATE($C$7,6,1)))</f>
        <v/>
      </c>
      <c r="H42" s="63">
        <f>IF($B42="","",SUMIFS(Tehingud!$E$8:$E$407,Tehingud!$D$8:$D$407,$B42,Tehingud!$B$8:$B$407,"&gt;="&amp;DATE($C$7,6,1),Tehingud!$B$8:$B$407,"&lt;"&amp;DATE($C$7,7,1)))</f>
        <v/>
      </c>
      <c r="I42" s="63">
        <f>IF($B42="","",SUMIFS(Tehingud!$E$8:$E$407,Tehingud!$D$8:$D$407,$B42,Tehingud!$B$8:$B$407,"&gt;="&amp;DATE($C$7,7,1),Tehingud!$B$8:$B$407,"&lt;"&amp;DATE($C$7,8,1)))</f>
        <v/>
      </c>
      <c r="J42" s="63">
        <f>IF($B42="","",SUMIFS(Tehingud!$E$8:$E$407,Tehingud!$D$8:$D$407,$B42,Tehingud!$B$8:$B$407,"&gt;="&amp;DATE($C$7,8,1),Tehingud!$B$8:$B$407,"&lt;"&amp;DATE($C$7,9,1)))</f>
        <v/>
      </c>
      <c r="K42" s="63">
        <f>IF($B42="","",SUMIFS(Tehingud!$E$8:$E$407,Tehingud!$D$8:$D$407,$B42,Tehingud!$B$8:$B$407,"&gt;="&amp;DATE($C$7,9,1),Tehingud!$B$8:$B$407,"&lt;"&amp;DATE($C$7,10,1)))</f>
        <v/>
      </c>
      <c r="L42" s="63">
        <f>IF($B42="","",SUMIFS(Tehingud!$E$8:$E$407,Tehingud!$D$8:$D$407,$B42,Tehingud!$B$8:$B$407,"&gt;="&amp;DATE($C$7,10,1),Tehingud!$B$8:$B$407,"&lt;"&amp;DATE($C$7,11,1)))</f>
        <v/>
      </c>
      <c r="M42" s="63">
        <f>IF($B42="","",SUMIFS(Tehingud!$E$8:$E$407,Tehingud!$D$8:$D$407,$B42,Tehingud!$B$8:$B$407,"&gt;="&amp;DATE($C$7,11,1),Tehingud!$B$8:$B$407,"&lt;"&amp;DATE($C$7,12,1)))</f>
        <v/>
      </c>
      <c r="N42" s="63">
        <f>IF($B42="","",SUMIFS(Tehingud!$E$8:$E$407,Tehingud!$D$8:$D$407,$B42,Tehingud!$B$8:$B$407,"&gt;="&amp;DATE($C$7,12,1),Tehingud!$B$8:$B$407,"&lt;"&amp;DATE($C$7,13,1)))</f>
        <v/>
      </c>
      <c r="O42" s="64">
        <f>IF($B42="","",SUM(C42:N42))</f>
        <v/>
      </c>
      <c r="P42" s="65">
        <f>IF(OR($B42="",$F$23=""),"",O42/COUNTIF($C$10:$C$21,"&gt;0"))</f>
        <v/>
      </c>
      <c r="Q42" s="66">
        <f>IF(OR($B42="",N($D$22)=0),"",O42/$D$22)</f>
        <v/>
      </c>
    </row>
    <row r="43" ht="19" customHeight="1">
      <c r="B43" s="62">
        <f>IF(Eelarve!B46="","",Eelarve!B46)</f>
        <v/>
      </c>
      <c r="C43" s="63">
        <f>IF($B43="","",SUMIFS(Tehingud!$E$8:$E$407,Tehingud!$D$8:$D$407,$B43,Tehingud!$B$8:$B$407,"&gt;="&amp;DATE($C$7,1,1),Tehingud!$B$8:$B$407,"&lt;"&amp;DATE($C$7,2,1)))</f>
        <v/>
      </c>
      <c r="D43" s="63">
        <f>IF($B43="","",SUMIFS(Tehingud!$E$8:$E$407,Tehingud!$D$8:$D$407,$B43,Tehingud!$B$8:$B$407,"&gt;="&amp;DATE($C$7,2,1),Tehingud!$B$8:$B$407,"&lt;"&amp;DATE($C$7,3,1)))</f>
        <v/>
      </c>
      <c r="E43" s="63">
        <f>IF($B43="","",SUMIFS(Tehingud!$E$8:$E$407,Tehingud!$D$8:$D$407,$B43,Tehingud!$B$8:$B$407,"&gt;="&amp;DATE($C$7,3,1),Tehingud!$B$8:$B$407,"&lt;"&amp;DATE($C$7,4,1)))</f>
        <v/>
      </c>
      <c r="F43" s="63">
        <f>IF($B43="","",SUMIFS(Tehingud!$E$8:$E$407,Tehingud!$D$8:$D$407,$B43,Tehingud!$B$8:$B$407,"&gt;="&amp;DATE($C$7,4,1),Tehingud!$B$8:$B$407,"&lt;"&amp;DATE($C$7,5,1)))</f>
        <v/>
      </c>
      <c r="G43" s="63">
        <f>IF($B43="","",SUMIFS(Tehingud!$E$8:$E$407,Tehingud!$D$8:$D$407,$B43,Tehingud!$B$8:$B$407,"&gt;="&amp;DATE($C$7,5,1),Tehingud!$B$8:$B$407,"&lt;"&amp;DATE($C$7,6,1)))</f>
        <v/>
      </c>
      <c r="H43" s="63">
        <f>IF($B43="","",SUMIFS(Tehingud!$E$8:$E$407,Tehingud!$D$8:$D$407,$B43,Tehingud!$B$8:$B$407,"&gt;="&amp;DATE($C$7,6,1),Tehingud!$B$8:$B$407,"&lt;"&amp;DATE($C$7,7,1)))</f>
        <v/>
      </c>
      <c r="I43" s="63">
        <f>IF($B43="","",SUMIFS(Tehingud!$E$8:$E$407,Tehingud!$D$8:$D$407,$B43,Tehingud!$B$8:$B$407,"&gt;="&amp;DATE($C$7,7,1),Tehingud!$B$8:$B$407,"&lt;"&amp;DATE($C$7,8,1)))</f>
        <v/>
      </c>
      <c r="J43" s="63">
        <f>IF($B43="","",SUMIFS(Tehingud!$E$8:$E$407,Tehingud!$D$8:$D$407,$B43,Tehingud!$B$8:$B$407,"&gt;="&amp;DATE($C$7,8,1),Tehingud!$B$8:$B$407,"&lt;"&amp;DATE($C$7,9,1)))</f>
        <v/>
      </c>
      <c r="K43" s="63">
        <f>IF($B43="","",SUMIFS(Tehingud!$E$8:$E$407,Tehingud!$D$8:$D$407,$B43,Tehingud!$B$8:$B$407,"&gt;="&amp;DATE($C$7,9,1),Tehingud!$B$8:$B$407,"&lt;"&amp;DATE($C$7,10,1)))</f>
        <v/>
      </c>
      <c r="L43" s="63">
        <f>IF($B43="","",SUMIFS(Tehingud!$E$8:$E$407,Tehingud!$D$8:$D$407,$B43,Tehingud!$B$8:$B$407,"&gt;="&amp;DATE($C$7,10,1),Tehingud!$B$8:$B$407,"&lt;"&amp;DATE($C$7,11,1)))</f>
        <v/>
      </c>
      <c r="M43" s="63">
        <f>IF($B43="","",SUMIFS(Tehingud!$E$8:$E$407,Tehingud!$D$8:$D$407,$B43,Tehingud!$B$8:$B$407,"&gt;="&amp;DATE($C$7,11,1),Tehingud!$B$8:$B$407,"&lt;"&amp;DATE($C$7,12,1)))</f>
        <v/>
      </c>
      <c r="N43" s="63">
        <f>IF($B43="","",SUMIFS(Tehingud!$E$8:$E$407,Tehingud!$D$8:$D$407,$B43,Tehingud!$B$8:$B$407,"&gt;="&amp;DATE($C$7,12,1),Tehingud!$B$8:$B$407,"&lt;"&amp;DATE($C$7,13,1)))</f>
        <v/>
      </c>
      <c r="O43" s="64">
        <f>IF($B43="","",SUM(C43:N43))</f>
        <v/>
      </c>
      <c r="P43" s="65">
        <f>IF(OR($B43="",$F$23=""),"",O43/COUNTIF($C$10:$C$21,"&gt;0"))</f>
        <v/>
      </c>
      <c r="Q43" s="66">
        <f>IF(OR($B43="",N($D$22)=0),"",O43/$D$22)</f>
        <v/>
      </c>
    </row>
    <row r="44" ht="19" customHeight="1">
      <c r="B44" s="62">
        <f>IF(Eelarve!B47="","",Eelarve!B47)</f>
        <v/>
      </c>
      <c r="C44" s="63">
        <f>IF($B44="","",SUMIFS(Tehingud!$E$8:$E$407,Tehingud!$D$8:$D$407,$B44,Tehingud!$B$8:$B$407,"&gt;="&amp;DATE($C$7,1,1),Tehingud!$B$8:$B$407,"&lt;"&amp;DATE($C$7,2,1)))</f>
        <v/>
      </c>
      <c r="D44" s="63">
        <f>IF($B44="","",SUMIFS(Tehingud!$E$8:$E$407,Tehingud!$D$8:$D$407,$B44,Tehingud!$B$8:$B$407,"&gt;="&amp;DATE($C$7,2,1),Tehingud!$B$8:$B$407,"&lt;"&amp;DATE($C$7,3,1)))</f>
        <v/>
      </c>
      <c r="E44" s="63">
        <f>IF($B44="","",SUMIFS(Tehingud!$E$8:$E$407,Tehingud!$D$8:$D$407,$B44,Tehingud!$B$8:$B$407,"&gt;="&amp;DATE($C$7,3,1),Tehingud!$B$8:$B$407,"&lt;"&amp;DATE($C$7,4,1)))</f>
        <v/>
      </c>
      <c r="F44" s="63">
        <f>IF($B44="","",SUMIFS(Tehingud!$E$8:$E$407,Tehingud!$D$8:$D$407,$B44,Tehingud!$B$8:$B$407,"&gt;="&amp;DATE($C$7,4,1),Tehingud!$B$8:$B$407,"&lt;"&amp;DATE($C$7,5,1)))</f>
        <v/>
      </c>
      <c r="G44" s="63">
        <f>IF($B44="","",SUMIFS(Tehingud!$E$8:$E$407,Tehingud!$D$8:$D$407,$B44,Tehingud!$B$8:$B$407,"&gt;="&amp;DATE($C$7,5,1),Tehingud!$B$8:$B$407,"&lt;"&amp;DATE($C$7,6,1)))</f>
        <v/>
      </c>
      <c r="H44" s="63">
        <f>IF($B44="","",SUMIFS(Tehingud!$E$8:$E$407,Tehingud!$D$8:$D$407,$B44,Tehingud!$B$8:$B$407,"&gt;="&amp;DATE($C$7,6,1),Tehingud!$B$8:$B$407,"&lt;"&amp;DATE($C$7,7,1)))</f>
        <v/>
      </c>
      <c r="I44" s="63">
        <f>IF($B44="","",SUMIFS(Tehingud!$E$8:$E$407,Tehingud!$D$8:$D$407,$B44,Tehingud!$B$8:$B$407,"&gt;="&amp;DATE($C$7,7,1),Tehingud!$B$8:$B$407,"&lt;"&amp;DATE($C$7,8,1)))</f>
        <v/>
      </c>
      <c r="J44" s="63">
        <f>IF($B44="","",SUMIFS(Tehingud!$E$8:$E$407,Tehingud!$D$8:$D$407,$B44,Tehingud!$B$8:$B$407,"&gt;="&amp;DATE($C$7,8,1),Tehingud!$B$8:$B$407,"&lt;"&amp;DATE($C$7,9,1)))</f>
        <v/>
      </c>
      <c r="K44" s="63">
        <f>IF($B44="","",SUMIFS(Tehingud!$E$8:$E$407,Tehingud!$D$8:$D$407,$B44,Tehingud!$B$8:$B$407,"&gt;="&amp;DATE($C$7,9,1),Tehingud!$B$8:$B$407,"&lt;"&amp;DATE($C$7,10,1)))</f>
        <v/>
      </c>
      <c r="L44" s="63">
        <f>IF($B44="","",SUMIFS(Tehingud!$E$8:$E$407,Tehingud!$D$8:$D$407,$B44,Tehingud!$B$8:$B$407,"&gt;="&amp;DATE($C$7,10,1),Tehingud!$B$8:$B$407,"&lt;"&amp;DATE($C$7,11,1)))</f>
        <v/>
      </c>
      <c r="M44" s="63">
        <f>IF($B44="","",SUMIFS(Tehingud!$E$8:$E$407,Tehingud!$D$8:$D$407,$B44,Tehingud!$B$8:$B$407,"&gt;="&amp;DATE($C$7,11,1),Tehingud!$B$8:$B$407,"&lt;"&amp;DATE($C$7,12,1)))</f>
        <v/>
      </c>
      <c r="N44" s="63">
        <f>IF($B44="","",SUMIFS(Tehingud!$E$8:$E$407,Tehingud!$D$8:$D$407,$B44,Tehingud!$B$8:$B$407,"&gt;="&amp;DATE($C$7,12,1),Tehingud!$B$8:$B$407,"&lt;"&amp;DATE($C$7,13,1)))</f>
        <v/>
      </c>
      <c r="O44" s="64">
        <f>IF($B44="","",SUM(C44:N44))</f>
        <v/>
      </c>
      <c r="P44" s="65">
        <f>IF(OR($B44="",$F$23=""),"",O44/COUNTIF($C$10:$C$21,"&gt;0"))</f>
        <v/>
      </c>
      <c r="Q44" s="66">
        <f>IF(OR($B44="",N($D$22)=0),"",O44/$D$22)</f>
        <v/>
      </c>
    </row>
    <row r="45" ht="19" customHeight="1">
      <c r="B45" s="62">
        <f>IF(Eelarve!B48="","",Eelarve!B48)</f>
        <v/>
      </c>
      <c r="C45" s="63">
        <f>IF($B45="","",SUMIFS(Tehingud!$E$8:$E$407,Tehingud!$D$8:$D$407,$B45,Tehingud!$B$8:$B$407,"&gt;="&amp;DATE($C$7,1,1),Tehingud!$B$8:$B$407,"&lt;"&amp;DATE($C$7,2,1)))</f>
        <v/>
      </c>
      <c r="D45" s="63">
        <f>IF($B45="","",SUMIFS(Tehingud!$E$8:$E$407,Tehingud!$D$8:$D$407,$B45,Tehingud!$B$8:$B$407,"&gt;="&amp;DATE($C$7,2,1),Tehingud!$B$8:$B$407,"&lt;"&amp;DATE($C$7,3,1)))</f>
        <v/>
      </c>
      <c r="E45" s="63">
        <f>IF($B45="","",SUMIFS(Tehingud!$E$8:$E$407,Tehingud!$D$8:$D$407,$B45,Tehingud!$B$8:$B$407,"&gt;="&amp;DATE($C$7,3,1),Tehingud!$B$8:$B$407,"&lt;"&amp;DATE($C$7,4,1)))</f>
        <v/>
      </c>
      <c r="F45" s="63">
        <f>IF($B45="","",SUMIFS(Tehingud!$E$8:$E$407,Tehingud!$D$8:$D$407,$B45,Tehingud!$B$8:$B$407,"&gt;="&amp;DATE($C$7,4,1),Tehingud!$B$8:$B$407,"&lt;"&amp;DATE($C$7,5,1)))</f>
        <v/>
      </c>
      <c r="G45" s="63">
        <f>IF($B45="","",SUMIFS(Tehingud!$E$8:$E$407,Tehingud!$D$8:$D$407,$B45,Tehingud!$B$8:$B$407,"&gt;="&amp;DATE($C$7,5,1),Tehingud!$B$8:$B$407,"&lt;"&amp;DATE($C$7,6,1)))</f>
        <v/>
      </c>
      <c r="H45" s="63">
        <f>IF($B45="","",SUMIFS(Tehingud!$E$8:$E$407,Tehingud!$D$8:$D$407,$B45,Tehingud!$B$8:$B$407,"&gt;="&amp;DATE($C$7,6,1),Tehingud!$B$8:$B$407,"&lt;"&amp;DATE($C$7,7,1)))</f>
        <v/>
      </c>
      <c r="I45" s="63">
        <f>IF($B45="","",SUMIFS(Tehingud!$E$8:$E$407,Tehingud!$D$8:$D$407,$B45,Tehingud!$B$8:$B$407,"&gt;="&amp;DATE($C$7,7,1),Tehingud!$B$8:$B$407,"&lt;"&amp;DATE($C$7,8,1)))</f>
        <v/>
      </c>
      <c r="J45" s="63">
        <f>IF($B45="","",SUMIFS(Tehingud!$E$8:$E$407,Tehingud!$D$8:$D$407,$B45,Tehingud!$B$8:$B$407,"&gt;="&amp;DATE($C$7,8,1),Tehingud!$B$8:$B$407,"&lt;"&amp;DATE($C$7,9,1)))</f>
        <v/>
      </c>
      <c r="K45" s="63">
        <f>IF($B45="","",SUMIFS(Tehingud!$E$8:$E$407,Tehingud!$D$8:$D$407,$B45,Tehingud!$B$8:$B$407,"&gt;="&amp;DATE($C$7,9,1),Tehingud!$B$8:$B$407,"&lt;"&amp;DATE($C$7,10,1)))</f>
        <v/>
      </c>
      <c r="L45" s="63">
        <f>IF($B45="","",SUMIFS(Tehingud!$E$8:$E$407,Tehingud!$D$8:$D$407,$B45,Tehingud!$B$8:$B$407,"&gt;="&amp;DATE($C$7,10,1),Tehingud!$B$8:$B$407,"&lt;"&amp;DATE($C$7,11,1)))</f>
        <v/>
      </c>
      <c r="M45" s="63">
        <f>IF($B45="","",SUMIFS(Tehingud!$E$8:$E$407,Tehingud!$D$8:$D$407,$B45,Tehingud!$B$8:$B$407,"&gt;="&amp;DATE($C$7,11,1),Tehingud!$B$8:$B$407,"&lt;"&amp;DATE($C$7,12,1)))</f>
        <v/>
      </c>
      <c r="N45" s="63">
        <f>IF($B45="","",SUMIFS(Tehingud!$E$8:$E$407,Tehingud!$D$8:$D$407,$B45,Tehingud!$B$8:$B$407,"&gt;="&amp;DATE($C$7,12,1),Tehingud!$B$8:$B$407,"&lt;"&amp;DATE($C$7,13,1)))</f>
        <v/>
      </c>
      <c r="O45" s="64">
        <f>IF($B45="","",SUM(C45:N45))</f>
        <v/>
      </c>
      <c r="P45" s="65">
        <f>IF(OR($B45="",$F$23=""),"",O45/COUNTIF($C$10:$C$21,"&gt;0"))</f>
        <v/>
      </c>
      <c r="Q45" s="66">
        <f>IF(OR($B45="",N($D$22)=0),"",O45/$D$22)</f>
        <v/>
      </c>
    </row>
    <row r="46" ht="19" customHeight="1">
      <c r="B46" s="62">
        <f>IF(Eelarve!B49="","",Eelarve!B49)</f>
        <v/>
      </c>
      <c r="C46" s="63">
        <f>IF($B46="","",SUMIFS(Tehingud!$E$8:$E$407,Tehingud!$D$8:$D$407,$B46,Tehingud!$B$8:$B$407,"&gt;="&amp;DATE($C$7,1,1),Tehingud!$B$8:$B$407,"&lt;"&amp;DATE($C$7,2,1)))</f>
        <v/>
      </c>
      <c r="D46" s="63">
        <f>IF($B46="","",SUMIFS(Tehingud!$E$8:$E$407,Tehingud!$D$8:$D$407,$B46,Tehingud!$B$8:$B$407,"&gt;="&amp;DATE($C$7,2,1),Tehingud!$B$8:$B$407,"&lt;"&amp;DATE($C$7,3,1)))</f>
        <v/>
      </c>
      <c r="E46" s="63">
        <f>IF($B46="","",SUMIFS(Tehingud!$E$8:$E$407,Tehingud!$D$8:$D$407,$B46,Tehingud!$B$8:$B$407,"&gt;="&amp;DATE($C$7,3,1),Tehingud!$B$8:$B$407,"&lt;"&amp;DATE($C$7,4,1)))</f>
        <v/>
      </c>
      <c r="F46" s="63">
        <f>IF($B46="","",SUMIFS(Tehingud!$E$8:$E$407,Tehingud!$D$8:$D$407,$B46,Tehingud!$B$8:$B$407,"&gt;="&amp;DATE($C$7,4,1),Tehingud!$B$8:$B$407,"&lt;"&amp;DATE($C$7,5,1)))</f>
        <v/>
      </c>
      <c r="G46" s="63">
        <f>IF($B46="","",SUMIFS(Tehingud!$E$8:$E$407,Tehingud!$D$8:$D$407,$B46,Tehingud!$B$8:$B$407,"&gt;="&amp;DATE($C$7,5,1),Tehingud!$B$8:$B$407,"&lt;"&amp;DATE($C$7,6,1)))</f>
        <v/>
      </c>
      <c r="H46" s="63">
        <f>IF($B46="","",SUMIFS(Tehingud!$E$8:$E$407,Tehingud!$D$8:$D$407,$B46,Tehingud!$B$8:$B$407,"&gt;="&amp;DATE($C$7,6,1),Tehingud!$B$8:$B$407,"&lt;"&amp;DATE($C$7,7,1)))</f>
        <v/>
      </c>
      <c r="I46" s="63">
        <f>IF($B46="","",SUMIFS(Tehingud!$E$8:$E$407,Tehingud!$D$8:$D$407,$B46,Tehingud!$B$8:$B$407,"&gt;="&amp;DATE($C$7,7,1),Tehingud!$B$8:$B$407,"&lt;"&amp;DATE($C$7,8,1)))</f>
        <v/>
      </c>
      <c r="J46" s="63">
        <f>IF($B46="","",SUMIFS(Tehingud!$E$8:$E$407,Tehingud!$D$8:$D$407,$B46,Tehingud!$B$8:$B$407,"&gt;="&amp;DATE($C$7,8,1),Tehingud!$B$8:$B$407,"&lt;"&amp;DATE($C$7,9,1)))</f>
        <v/>
      </c>
      <c r="K46" s="63">
        <f>IF($B46="","",SUMIFS(Tehingud!$E$8:$E$407,Tehingud!$D$8:$D$407,$B46,Tehingud!$B$8:$B$407,"&gt;="&amp;DATE($C$7,9,1),Tehingud!$B$8:$B$407,"&lt;"&amp;DATE($C$7,10,1)))</f>
        <v/>
      </c>
      <c r="L46" s="63">
        <f>IF($B46="","",SUMIFS(Tehingud!$E$8:$E$407,Tehingud!$D$8:$D$407,$B46,Tehingud!$B$8:$B$407,"&gt;="&amp;DATE($C$7,10,1),Tehingud!$B$8:$B$407,"&lt;"&amp;DATE($C$7,11,1)))</f>
        <v/>
      </c>
      <c r="M46" s="63">
        <f>IF($B46="","",SUMIFS(Tehingud!$E$8:$E$407,Tehingud!$D$8:$D$407,$B46,Tehingud!$B$8:$B$407,"&gt;="&amp;DATE($C$7,11,1),Tehingud!$B$8:$B$407,"&lt;"&amp;DATE($C$7,12,1)))</f>
        <v/>
      </c>
      <c r="N46" s="63">
        <f>IF($B46="","",SUMIFS(Tehingud!$E$8:$E$407,Tehingud!$D$8:$D$407,$B46,Tehingud!$B$8:$B$407,"&gt;="&amp;DATE($C$7,12,1),Tehingud!$B$8:$B$407,"&lt;"&amp;DATE($C$7,13,1)))</f>
        <v/>
      </c>
      <c r="O46" s="64">
        <f>IF($B46="","",SUM(C46:N46))</f>
        <v/>
      </c>
      <c r="P46" s="65">
        <f>IF(OR($B46="",$F$23=""),"",O46/COUNTIF($C$10:$C$21,"&gt;0"))</f>
        <v/>
      </c>
      <c r="Q46" s="66">
        <f>IF(OR($B46="",N($D$22)=0),"",O46/$D$22)</f>
        <v/>
      </c>
    </row>
    <row r="47" ht="19" customHeight="1">
      <c r="B47" s="62">
        <f>IF(Eelarve!B50="","",Eelarve!B50)</f>
        <v/>
      </c>
      <c r="C47" s="63">
        <f>IF($B47="","",SUMIFS(Tehingud!$E$8:$E$407,Tehingud!$D$8:$D$407,$B47,Tehingud!$B$8:$B$407,"&gt;="&amp;DATE($C$7,1,1),Tehingud!$B$8:$B$407,"&lt;"&amp;DATE($C$7,2,1)))</f>
        <v/>
      </c>
      <c r="D47" s="63">
        <f>IF($B47="","",SUMIFS(Tehingud!$E$8:$E$407,Tehingud!$D$8:$D$407,$B47,Tehingud!$B$8:$B$407,"&gt;="&amp;DATE($C$7,2,1),Tehingud!$B$8:$B$407,"&lt;"&amp;DATE($C$7,3,1)))</f>
        <v/>
      </c>
      <c r="E47" s="63">
        <f>IF($B47="","",SUMIFS(Tehingud!$E$8:$E$407,Tehingud!$D$8:$D$407,$B47,Tehingud!$B$8:$B$407,"&gt;="&amp;DATE($C$7,3,1),Tehingud!$B$8:$B$407,"&lt;"&amp;DATE($C$7,4,1)))</f>
        <v/>
      </c>
      <c r="F47" s="63">
        <f>IF($B47="","",SUMIFS(Tehingud!$E$8:$E$407,Tehingud!$D$8:$D$407,$B47,Tehingud!$B$8:$B$407,"&gt;="&amp;DATE($C$7,4,1),Tehingud!$B$8:$B$407,"&lt;"&amp;DATE($C$7,5,1)))</f>
        <v/>
      </c>
      <c r="G47" s="63">
        <f>IF($B47="","",SUMIFS(Tehingud!$E$8:$E$407,Tehingud!$D$8:$D$407,$B47,Tehingud!$B$8:$B$407,"&gt;="&amp;DATE($C$7,5,1),Tehingud!$B$8:$B$407,"&lt;"&amp;DATE($C$7,6,1)))</f>
        <v/>
      </c>
      <c r="H47" s="63">
        <f>IF($B47="","",SUMIFS(Tehingud!$E$8:$E$407,Tehingud!$D$8:$D$407,$B47,Tehingud!$B$8:$B$407,"&gt;="&amp;DATE($C$7,6,1),Tehingud!$B$8:$B$407,"&lt;"&amp;DATE($C$7,7,1)))</f>
        <v/>
      </c>
      <c r="I47" s="63">
        <f>IF($B47="","",SUMIFS(Tehingud!$E$8:$E$407,Tehingud!$D$8:$D$407,$B47,Tehingud!$B$8:$B$407,"&gt;="&amp;DATE($C$7,7,1),Tehingud!$B$8:$B$407,"&lt;"&amp;DATE($C$7,8,1)))</f>
        <v/>
      </c>
      <c r="J47" s="63">
        <f>IF($B47="","",SUMIFS(Tehingud!$E$8:$E$407,Tehingud!$D$8:$D$407,$B47,Tehingud!$B$8:$B$407,"&gt;="&amp;DATE($C$7,8,1),Tehingud!$B$8:$B$407,"&lt;"&amp;DATE($C$7,9,1)))</f>
        <v/>
      </c>
      <c r="K47" s="63">
        <f>IF($B47="","",SUMIFS(Tehingud!$E$8:$E$407,Tehingud!$D$8:$D$407,$B47,Tehingud!$B$8:$B$407,"&gt;="&amp;DATE($C$7,9,1),Tehingud!$B$8:$B$407,"&lt;"&amp;DATE($C$7,10,1)))</f>
        <v/>
      </c>
      <c r="L47" s="63">
        <f>IF($B47="","",SUMIFS(Tehingud!$E$8:$E$407,Tehingud!$D$8:$D$407,$B47,Tehingud!$B$8:$B$407,"&gt;="&amp;DATE($C$7,10,1),Tehingud!$B$8:$B$407,"&lt;"&amp;DATE($C$7,11,1)))</f>
        <v/>
      </c>
      <c r="M47" s="63">
        <f>IF($B47="","",SUMIFS(Tehingud!$E$8:$E$407,Tehingud!$D$8:$D$407,$B47,Tehingud!$B$8:$B$407,"&gt;="&amp;DATE($C$7,11,1),Tehingud!$B$8:$B$407,"&lt;"&amp;DATE($C$7,12,1)))</f>
        <v/>
      </c>
      <c r="N47" s="63">
        <f>IF($B47="","",SUMIFS(Tehingud!$E$8:$E$407,Tehingud!$D$8:$D$407,$B47,Tehingud!$B$8:$B$407,"&gt;="&amp;DATE($C$7,12,1),Tehingud!$B$8:$B$407,"&lt;"&amp;DATE($C$7,13,1)))</f>
        <v/>
      </c>
      <c r="O47" s="64">
        <f>IF($B47="","",SUM(C47:N47))</f>
        <v/>
      </c>
      <c r="P47" s="65">
        <f>IF(OR($B47="",$F$23=""),"",O47/COUNTIF($C$10:$C$21,"&gt;0"))</f>
        <v/>
      </c>
      <c r="Q47" s="66">
        <f>IF(OR($B47="",N($D$22)=0),"",O47/$D$22)</f>
        <v/>
      </c>
    </row>
    <row r="48" ht="19" customHeight="1">
      <c r="B48" s="62">
        <f>IF(Eelarve!B51="","",Eelarve!B51)</f>
        <v/>
      </c>
      <c r="C48" s="63">
        <f>IF($B48="","",SUMIFS(Tehingud!$E$8:$E$407,Tehingud!$D$8:$D$407,$B48,Tehingud!$B$8:$B$407,"&gt;="&amp;DATE($C$7,1,1),Tehingud!$B$8:$B$407,"&lt;"&amp;DATE($C$7,2,1)))</f>
        <v/>
      </c>
      <c r="D48" s="63">
        <f>IF($B48="","",SUMIFS(Tehingud!$E$8:$E$407,Tehingud!$D$8:$D$407,$B48,Tehingud!$B$8:$B$407,"&gt;="&amp;DATE($C$7,2,1),Tehingud!$B$8:$B$407,"&lt;"&amp;DATE($C$7,3,1)))</f>
        <v/>
      </c>
      <c r="E48" s="63">
        <f>IF($B48="","",SUMIFS(Tehingud!$E$8:$E$407,Tehingud!$D$8:$D$407,$B48,Tehingud!$B$8:$B$407,"&gt;="&amp;DATE($C$7,3,1),Tehingud!$B$8:$B$407,"&lt;"&amp;DATE($C$7,4,1)))</f>
        <v/>
      </c>
      <c r="F48" s="63">
        <f>IF($B48="","",SUMIFS(Tehingud!$E$8:$E$407,Tehingud!$D$8:$D$407,$B48,Tehingud!$B$8:$B$407,"&gt;="&amp;DATE($C$7,4,1),Tehingud!$B$8:$B$407,"&lt;"&amp;DATE($C$7,5,1)))</f>
        <v/>
      </c>
      <c r="G48" s="63">
        <f>IF($B48="","",SUMIFS(Tehingud!$E$8:$E$407,Tehingud!$D$8:$D$407,$B48,Tehingud!$B$8:$B$407,"&gt;="&amp;DATE($C$7,5,1),Tehingud!$B$8:$B$407,"&lt;"&amp;DATE($C$7,6,1)))</f>
        <v/>
      </c>
      <c r="H48" s="63">
        <f>IF($B48="","",SUMIFS(Tehingud!$E$8:$E$407,Tehingud!$D$8:$D$407,$B48,Tehingud!$B$8:$B$407,"&gt;="&amp;DATE($C$7,6,1),Tehingud!$B$8:$B$407,"&lt;"&amp;DATE($C$7,7,1)))</f>
        <v/>
      </c>
      <c r="I48" s="63">
        <f>IF($B48="","",SUMIFS(Tehingud!$E$8:$E$407,Tehingud!$D$8:$D$407,$B48,Tehingud!$B$8:$B$407,"&gt;="&amp;DATE($C$7,7,1),Tehingud!$B$8:$B$407,"&lt;"&amp;DATE($C$7,8,1)))</f>
        <v/>
      </c>
      <c r="J48" s="63">
        <f>IF($B48="","",SUMIFS(Tehingud!$E$8:$E$407,Tehingud!$D$8:$D$407,$B48,Tehingud!$B$8:$B$407,"&gt;="&amp;DATE($C$7,8,1),Tehingud!$B$8:$B$407,"&lt;"&amp;DATE($C$7,9,1)))</f>
        <v/>
      </c>
      <c r="K48" s="63">
        <f>IF($B48="","",SUMIFS(Tehingud!$E$8:$E$407,Tehingud!$D$8:$D$407,$B48,Tehingud!$B$8:$B$407,"&gt;="&amp;DATE($C$7,9,1),Tehingud!$B$8:$B$407,"&lt;"&amp;DATE($C$7,10,1)))</f>
        <v/>
      </c>
      <c r="L48" s="63">
        <f>IF($B48="","",SUMIFS(Tehingud!$E$8:$E$407,Tehingud!$D$8:$D$407,$B48,Tehingud!$B$8:$B$407,"&gt;="&amp;DATE($C$7,10,1),Tehingud!$B$8:$B$407,"&lt;"&amp;DATE($C$7,11,1)))</f>
        <v/>
      </c>
      <c r="M48" s="63">
        <f>IF($B48="","",SUMIFS(Tehingud!$E$8:$E$407,Tehingud!$D$8:$D$407,$B48,Tehingud!$B$8:$B$407,"&gt;="&amp;DATE($C$7,11,1),Tehingud!$B$8:$B$407,"&lt;"&amp;DATE($C$7,12,1)))</f>
        <v/>
      </c>
      <c r="N48" s="63">
        <f>IF($B48="","",SUMIFS(Tehingud!$E$8:$E$407,Tehingud!$D$8:$D$407,$B48,Tehingud!$B$8:$B$407,"&gt;="&amp;DATE($C$7,12,1),Tehingud!$B$8:$B$407,"&lt;"&amp;DATE($C$7,13,1)))</f>
        <v/>
      </c>
      <c r="O48" s="64">
        <f>IF($B48="","",SUM(C48:N48))</f>
        <v/>
      </c>
      <c r="P48" s="65">
        <f>IF(OR($B48="",$F$23=""),"",O48/COUNTIF($C$10:$C$21,"&gt;0"))</f>
        <v/>
      </c>
      <c r="Q48" s="66">
        <f>IF(OR($B48="",N($D$22)=0),"",O48/$D$22)</f>
        <v/>
      </c>
    </row>
    <row r="49" ht="19" customHeight="1">
      <c r="B49" s="62">
        <f>IF(Eelarve!B52="","",Eelarve!B52)</f>
        <v/>
      </c>
      <c r="C49" s="63">
        <f>IF($B49="","",SUMIFS(Tehingud!$E$8:$E$407,Tehingud!$D$8:$D$407,$B49,Tehingud!$B$8:$B$407,"&gt;="&amp;DATE($C$7,1,1),Tehingud!$B$8:$B$407,"&lt;"&amp;DATE($C$7,2,1)))</f>
        <v/>
      </c>
      <c r="D49" s="63">
        <f>IF($B49="","",SUMIFS(Tehingud!$E$8:$E$407,Tehingud!$D$8:$D$407,$B49,Tehingud!$B$8:$B$407,"&gt;="&amp;DATE($C$7,2,1),Tehingud!$B$8:$B$407,"&lt;"&amp;DATE($C$7,3,1)))</f>
        <v/>
      </c>
      <c r="E49" s="63">
        <f>IF($B49="","",SUMIFS(Tehingud!$E$8:$E$407,Tehingud!$D$8:$D$407,$B49,Tehingud!$B$8:$B$407,"&gt;="&amp;DATE($C$7,3,1),Tehingud!$B$8:$B$407,"&lt;"&amp;DATE($C$7,4,1)))</f>
        <v/>
      </c>
      <c r="F49" s="63">
        <f>IF($B49="","",SUMIFS(Tehingud!$E$8:$E$407,Tehingud!$D$8:$D$407,$B49,Tehingud!$B$8:$B$407,"&gt;="&amp;DATE($C$7,4,1),Tehingud!$B$8:$B$407,"&lt;"&amp;DATE($C$7,5,1)))</f>
        <v/>
      </c>
      <c r="G49" s="63">
        <f>IF($B49="","",SUMIFS(Tehingud!$E$8:$E$407,Tehingud!$D$8:$D$407,$B49,Tehingud!$B$8:$B$407,"&gt;="&amp;DATE($C$7,5,1),Tehingud!$B$8:$B$407,"&lt;"&amp;DATE($C$7,6,1)))</f>
        <v/>
      </c>
      <c r="H49" s="63">
        <f>IF($B49="","",SUMIFS(Tehingud!$E$8:$E$407,Tehingud!$D$8:$D$407,$B49,Tehingud!$B$8:$B$407,"&gt;="&amp;DATE($C$7,6,1),Tehingud!$B$8:$B$407,"&lt;"&amp;DATE($C$7,7,1)))</f>
        <v/>
      </c>
      <c r="I49" s="63">
        <f>IF($B49="","",SUMIFS(Tehingud!$E$8:$E$407,Tehingud!$D$8:$D$407,$B49,Tehingud!$B$8:$B$407,"&gt;="&amp;DATE($C$7,7,1),Tehingud!$B$8:$B$407,"&lt;"&amp;DATE($C$7,8,1)))</f>
        <v/>
      </c>
      <c r="J49" s="63">
        <f>IF($B49="","",SUMIFS(Tehingud!$E$8:$E$407,Tehingud!$D$8:$D$407,$B49,Tehingud!$B$8:$B$407,"&gt;="&amp;DATE($C$7,8,1),Tehingud!$B$8:$B$407,"&lt;"&amp;DATE($C$7,9,1)))</f>
        <v/>
      </c>
      <c r="K49" s="63">
        <f>IF($B49="","",SUMIFS(Tehingud!$E$8:$E$407,Tehingud!$D$8:$D$407,$B49,Tehingud!$B$8:$B$407,"&gt;="&amp;DATE($C$7,9,1),Tehingud!$B$8:$B$407,"&lt;"&amp;DATE($C$7,10,1)))</f>
        <v/>
      </c>
      <c r="L49" s="63">
        <f>IF($B49="","",SUMIFS(Tehingud!$E$8:$E$407,Tehingud!$D$8:$D$407,$B49,Tehingud!$B$8:$B$407,"&gt;="&amp;DATE($C$7,10,1),Tehingud!$B$8:$B$407,"&lt;"&amp;DATE($C$7,11,1)))</f>
        <v/>
      </c>
      <c r="M49" s="63">
        <f>IF($B49="","",SUMIFS(Tehingud!$E$8:$E$407,Tehingud!$D$8:$D$407,$B49,Tehingud!$B$8:$B$407,"&gt;="&amp;DATE($C$7,11,1),Tehingud!$B$8:$B$407,"&lt;"&amp;DATE($C$7,12,1)))</f>
        <v/>
      </c>
      <c r="N49" s="63">
        <f>IF($B49="","",SUMIFS(Tehingud!$E$8:$E$407,Tehingud!$D$8:$D$407,$B49,Tehingud!$B$8:$B$407,"&gt;="&amp;DATE($C$7,12,1),Tehingud!$B$8:$B$407,"&lt;"&amp;DATE($C$7,13,1)))</f>
        <v/>
      </c>
      <c r="O49" s="64">
        <f>IF($B49="","",SUM(C49:N49))</f>
        <v/>
      </c>
      <c r="P49" s="65">
        <f>IF(OR($B49="",$F$23=""),"",O49/COUNTIF($C$10:$C$21,"&gt;0"))</f>
        <v/>
      </c>
      <c r="Q49" s="66">
        <f>IF(OR($B49="",N($D$22)=0),"",O49/$D$22)</f>
        <v/>
      </c>
    </row>
    <row r="50" ht="19" customHeight="1">
      <c r="B50" s="62">
        <f>IF(Eelarve!B53="","",Eelarve!B53)</f>
        <v/>
      </c>
      <c r="C50" s="63">
        <f>IF($B50="","",SUMIFS(Tehingud!$E$8:$E$407,Tehingud!$D$8:$D$407,$B50,Tehingud!$B$8:$B$407,"&gt;="&amp;DATE($C$7,1,1),Tehingud!$B$8:$B$407,"&lt;"&amp;DATE($C$7,2,1)))</f>
        <v/>
      </c>
      <c r="D50" s="63">
        <f>IF($B50="","",SUMIFS(Tehingud!$E$8:$E$407,Tehingud!$D$8:$D$407,$B50,Tehingud!$B$8:$B$407,"&gt;="&amp;DATE($C$7,2,1),Tehingud!$B$8:$B$407,"&lt;"&amp;DATE($C$7,3,1)))</f>
        <v/>
      </c>
      <c r="E50" s="63">
        <f>IF($B50="","",SUMIFS(Tehingud!$E$8:$E$407,Tehingud!$D$8:$D$407,$B50,Tehingud!$B$8:$B$407,"&gt;="&amp;DATE($C$7,3,1),Tehingud!$B$8:$B$407,"&lt;"&amp;DATE($C$7,4,1)))</f>
        <v/>
      </c>
      <c r="F50" s="63">
        <f>IF($B50="","",SUMIFS(Tehingud!$E$8:$E$407,Tehingud!$D$8:$D$407,$B50,Tehingud!$B$8:$B$407,"&gt;="&amp;DATE($C$7,4,1),Tehingud!$B$8:$B$407,"&lt;"&amp;DATE($C$7,5,1)))</f>
        <v/>
      </c>
      <c r="G50" s="63">
        <f>IF($B50="","",SUMIFS(Tehingud!$E$8:$E$407,Tehingud!$D$8:$D$407,$B50,Tehingud!$B$8:$B$407,"&gt;="&amp;DATE($C$7,5,1),Tehingud!$B$8:$B$407,"&lt;"&amp;DATE($C$7,6,1)))</f>
        <v/>
      </c>
      <c r="H50" s="63">
        <f>IF($B50="","",SUMIFS(Tehingud!$E$8:$E$407,Tehingud!$D$8:$D$407,$B50,Tehingud!$B$8:$B$407,"&gt;="&amp;DATE($C$7,6,1),Tehingud!$B$8:$B$407,"&lt;"&amp;DATE($C$7,7,1)))</f>
        <v/>
      </c>
      <c r="I50" s="63">
        <f>IF($B50="","",SUMIFS(Tehingud!$E$8:$E$407,Tehingud!$D$8:$D$407,$B50,Tehingud!$B$8:$B$407,"&gt;="&amp;DATE($C$7,7,1),Tehingud!$B$8:$B$407,"&lt;"&amp;DATE($C$7,8,1)))</f>
        <v/>
      </c>
      <c r="J50" s="63">
        <f>IF($B50="","",SUMIFS(Tehingud!$E$8:$E$407,Tehingud!$D$8:$D$407,$B50,Tehingud!$B$8:$B$407,"&gt;="&amp;DATE($C$7,8,1),Tehingud!$B$8:$B$407,"&lt;"&amp;DATE($C$7,9,1)))</f>
        <v/>
      </c>
      <c r="K50" s="63">
        <f>IF($B50="","",SUMIFS(Tehingud!$E$8:$E$407,Tehingud!$D$8:$D$407,$B50,Tehingud!$B$8:$B$407,"&gt;="&amp;DATE($C$7,9,1),Tehingud!$B$8:$B$407,"&lt;"&amp;DATE($C$7,10,1)))</f>
        <v/>
      </c>
      <c r="L50" s="63">
        <f>IF($B50="","",SUMIFS(Tehingud!$E$8:$E$407,Tehingud!$D$8:$D$407,$B50,Tehingud!$B$8:$B$407,"&gt;="&amp;DATE($C$7,10,1),Tehingud!$B$8:$B$407,"&lt;"&amp;DATE($C$7,11,1)))</f>
        <v/>
      </c>
      <c r="M50" s="63">
        <f>IF($B50="","",SUMIFS(Tehingud!$E$8:$E$407,Tehingud!$D$8:$D$407,$B50,Tehingud!$B$8:$B$407,"&gt;="&amp;DATE($C$7,11,1),Tehingud!$B$8:$B$407,"&lt;"&amp;DATE($C$7,12,1)))</f>
        <v/>
      </c>
      <c r="N50" s="63">
        <f>IF($B50="","",SUMIFS(Tehingud!$E$8:$E$407,Tehingud!$D$8:$D$407,$B50,Tehingud!$B$8:$B$407,"&gt;="&amp;DATE($C$7,12,1),Tehingud!$B$8:$B$407,"&lt;"&amp;DATE($C$7,13,1)))</f>
        <v/>
      </c>
      <c r="O50" s="64">
        <f>IF($B50="","",SUM(C50:N50))</f>
        <v/>
      </c>
      <c r="P50" s="65">
        <f>IF(OR($B50="",$F$23=""),"",O50/COUNTIF($C$10:$C$21,"&gt;0"))</f>
        <v/>
      </c>
      <c r="Q50" s="66">
        <f>IF(OR($B50="",N($D$22)=0),"",O50/$D$22)</f>
        <v/>
      </c>
    </row>
    <row r="51" ht="19" customHeight="1">
      <c r="B51" s="62">
        <f>IF(Eelarve!B54="","",Eelarve!B54)</f>
        <v/>
      </c>
      <c r="C51" s="63">
        <f>IF($B51="","",SUMIFS(Tehingud!$E$8:$E$407,Tehingud!$D$8:$D$407,$B51,Tehingud!$B$8:$B$407,"&gt;="&amp;DATE($C$7,1,1),Tehingud!$B$8:$B$407,"&lt;"&amp;DATE($C$7,2,1)))</f>
        <v/>
      </c>
      <c r="D51" s="63">
        <f>IF($B51="","",SUMIFS(Tehingud!$E$8:$E$407,Tehingud!$D$8:$D$407,$B51,Tehingud!$B$8:$B$407,"&gt;="&amp;DATE($C$7,2,1),Tehingud!$B$8:$B$407,"&lt;"&amp;DATE($C$7,3,1)))</f>
        <v/>
      </c>
      <c r="E51" s="63">
        <f>IF($B51="","",SUMIFS(Tehingud!$E$8:$E$407,Tehingud!$D$8:$D$407,$B51,Tehingud!$B$8:$B$407,"&gt;="&amp;DATE($C$7,3,1),Tehingud!$B$8:$B$407,"&lt;"&amp;DATE($C$7,4,1)))</f>
        <v/>
      </c>
      <c r="F51" s="63">
        <f>IF($B51="","",SUMIFS(Tehingud!$E$8:$E$407,Tehingud!$D$8:$D$407,$B51,Tehingud!$B$8:$B$407,"&gt;="&amp;DATE($C$7,4,1),Tehingud!$B$8:$B$407,"&lt;"&amp;DATE($C$7,5,1)))</f>
        <v/>
      </c>
      <c r="G51" s="63">
        <f>IF($B51="","",SUMIFS(Tehingud!$E$8:$E$407,Tehingud!$D$8:$D$407,$B51,Tehingud!$B$8:$B$407,"&gt;="&amp;DATE($C$7,5,1),Tehingud!$B$8:$B$407,"&lt;"&amp;DATE($C$7,6,1)))</f>
        <v/>
      </c>
      <c r="H51" s="63">
        <f>IF($B51="","",SUMIFS(Tehingud!$E$8:$E$407,Tehingud!$D$8:$D$407,$B51,Tehingud!$B$8:$B$407,"&gt;="&amp;DATE($C$7,6,1),Tehingud!$B$8:$B$407,"&lt;"&amp;DATE($C$7,7,1)))</f>
        <v/>
      </c>
      <c r="I51" s="63">
        <f>IF($B51="","",SUMIFS(Tehingud!$E$8:$E$407,Tehingud!$D$8:$D$407,$B51,Tehingud!$B$8:$B$407,"&gt;="&amp;DATE($C$7,7,1),Tehingud!$B$8:$B$407,"&lt;"&amp;DATE($C$7,8,1)))</f>
        <v/>
      </c>
      <c r="J51" s="63">
        <f>IF($B51="","",SUMIFS(Tehingud!$E$8:$E$407,Tehingud!$D$8:$D$407,$B51,Tehingud!$B$8:$B$407,"&gt;="&amp;DATE($C$7,8,1),Tehingud!$B$8:$B$407,"&lt;"&amp;DATE($C$7,9,1)))</f>
        <v/>
      </c>
      <c r="K51" s="63">
        <f>IF($B51="","",SUMIFS(Tehingud!$E$8:$E$407,Tehingud!$D$8:$D$407,$B51,Tehingud!$B$8:$B$407,"&gt;="&amp;DATE($C$7,9,1),Tehingud!$B$8:$B$407,"&lt;"&amp;DATE($C$7,10,1)))</f>
        <v/>
      </c>
      <c r="L51" s="63">
        <f>IF($B51="","",SUMIFS(Tehingud!$E$8:$E$407,Tehingud!$D$8:$D$407,$B51,Tehingud!$B$8:$B$407,"&gt;="&amp;DATE($C$7,10,1),Tehingud!$B$8:$B$407,"&lt;"&amp;DATE($C$7,11,1)))</f>
        <v/>
      </c>
      <c r="M51" s="63">
        <f>IF($B51="","",SUMIFS(Tehingud!$E$8:$E$407,Tehingud!$D$8:$D$407,$B51,Tehingud!$B$8:$B$407,"&gt;="&amp;DATE($C$7,11,1),Tehingud!$B$8:$B$407,"&lt;"&amp;DATE($C$7,12,1)))</f>
        <v/>
      </c>
      <c r="N51" s="63">
        <f>IF($B51="","",SUMIFS(Tehingud!$E$8:$E$407,Tehingud!$D$8:$D$407,$B51,Tehingud!$B$8:$B$407,"&gt;="&amp;DATE($C$7,12,1),Tehingud!$B$8:$B$407,"&lt;"&amp;DATE($C$7,13,1)))</f>
        <v/>
      </c>
      <c r="O51" s="64">
        <f>IF($B51="","",SUM(C51:N51))</f>
        <v/>
      </c>
      <c r="P51" s="65">
        <f>IF(OR($B51="",$F$23=""),"",O51/COUNTIF($C$10:$C$21,"&gt;0"))</f>
        <v/>
      </c>
      <c r="Q51" s="66">
        <f>IF(OR($B51="",N($D$22)=0),"",O51/$D$22)</f>
        <v/>
      </c>
    </row>
    <row r="52" ht="19" customHeight="1">
      <c r="B52" s="62">
        <f>IF(Eelarve!B55="","",Eelarve!B55)</f>
        <v/>
      </c>
      <c r="C52" s="63">
        <f>IF($B52="","",SUMIFS(Tehingud!$E$8:$E$407,Tehingud!$D$8:$D$407,$B52,Tehingud!$B$8:$B$407,"&gt;="&amp;DATE($C$7,1,1),Tehingud!$B$8:$B$407,"&lt;"&amp;DATE($C$7,2,1)))</f>
        <v/>
      </c>
      <c r="D52" s="63">
        <f>IF($B52="","",SUMIFS(Tehingud!$E$8:$E$407,Tehingud!$D$8:$D$407,$B52,Tehingud!$B$8:$B$407,"&gt;="&amp;DATE($C$7,2,1),Tehingud!$B$8:$B$407,"&lt;"&amp;DATE($C$7,3,1)))</f>
        <v/>
      </c>
      <c r="E52" s="63">
        <f>IF($B52="","",SUMIFS(Tehingud!$E$8:$E$407,Tehingud!$D$8:$D$407,$B52,Tehingud!$B$8:$B$407,"&gt;="&amp;DATE($C$7,3,1),Tehingud!$B$8:$B$407,"&lt;"&amp;DATE($C$7,4,1)))</f>
        <v/>
      </c>
      <c r="F52" s="63">
        <f>IF($B52="","",SUMIFS(Tehingud!$E$8:$E$407,Tehingud!$D$8:$D$407,$B52,Tehingud!$B$8:$B$407,"&gt;="&amp;DATE($C$7,4,1),Tehingud!$B$8:$B$407,"&lt;"&amp;DATE($C$7,5,1)))</f>
        <v/>
      </c>
      <c r="G52" s="63">
        <f>IF($B52="","",SUMIFS(Tehingud!$E$8:$E$407,Tehingud!$D$8:$D$407,$B52,Tehingud!$B$8:$B$407,"&gt;="&amp;DATE($C$7,5,1),Tehingud!$B$8:$B$407,"&lt;"&amp;DATE($C$7,6,1)))</f>
        <v/>
      </c>
      <c r="H52" s="63">
        <f>IF($B52="","",SUMIFS(Tehingud!$E$8:$E$407,Tehingud!$D$8:$D$407,$B52,Tehingud!$B$8:$B$407,"&gt;="&amp;DATE($C$7,6,1),Tehingud!$B$8:$B$407,"&lt;"&amp;DATE($C$7,7,1)))</f>
        <v/>
      </c>
      <c r="I52" s="63">
        <f>IF($B52="","",SUMIFS(Tehingud!$E$8:$E$407,Tehingud!$D$8:$D$407,$B52,Tehingud!$B$8:$B$407,"&gt;="&amp;DATE($C$7,7,1),Tehingud!$B$8:$B$407,"&lt;"&amp;DATE($C$7,8,1)))</f>
        <v/>
      </c>
      <c r="J52" s="63">
        <f>IF($B52="","",SUMIFS(Tehingud!$E$8:$E$407,Tehingud!$D$8:$D$407,$B52,Tehingud!$B$8:$B$407,"&gt;="&amp;DATE($C$7,8,1),Tehingud!$B$8:$B$407,"&lt;"&amp;DATE($C$7,9,1)))</f>
        <v/>
      </c>
      <c r="K52" s="63">
        <f>IF($B52="","",SUMIFS(Tehingud!$E$8:$E$407,Tehingud!$D$8:$D$407,$B52,Tehingud!$B$8:$B$407,"&gt;="&amp;DATE($C$7,9,1),Tehingud!$B$8:$B$407,"&lt;"&amp;DATE($C$7,10,1)))</f>
        <v/>
      </c>
      <c r="L52" s="63">
        <f>IF($B52="","",SUMIFS(Tehingud!$E$8:$E$407,Tehingud!$D$8:$D$407,$B52,Tehingud!$B$8:$B$407,"&gt;="&amp;DATE($C$7,10,1),Tehingud!$B$8:$B$407,"&lt;"&amp;DATE($C$7,11,1)))</f>
        <v/>
      </c>
      <c r="M52" s="63">
        <f>IF($B52="","",SUMIFS(Tehingud!$E$8:$E$407,Tehingud!$D$8:$D$407,$B52,Tehingud!$B$8:$B$407,"&gt;="&amp;DATE($C$7,11,1),Tehingud!$B$8:$B$407,"&lt;"&amp;DATE($C$7,12,1)))</f>
        <v/>
      </c>
      <c r="N52" s="63">
        <f>IF($B52="","",SUMIFS(Tehingud!$E$8:$E$407,Tehingud!$D$8:$D$407,$B52,Tehingud!$B$8:$B$407,"&gt;="&amp;DATE($C$7,12,1),Tehingud!$B$8:$B$407,"&lt;"&amp;DATE($C$7,13,1)))</f>
        <v/>
      </c>
      <c r="O52" s="64">
        <f>IF($B52="","",SUM(C52:N52))</f>
        <v/>
      </c>
      <c r="P52" s="65">
        <f>IF(OR($B52="",$F$23=""),"",O52/COUNTIF($C$10:$C$21,"&gt;0"))</f>
        <v/>
      </c>
      <c r="Q52" s="66">
        <f>IF(OR($B52="",N($D$22)=0),"",O52/$D$22)</f>
        <v/>
      </c>
    </row>
    <row r="53" ht="19" customHeight="1">
      <c r="B53" s="62">
        <f>IF(Eelarve!B56="","",Eelarve!B56)</f>
        <v/>
      </c>
      <c r="C53" s="63">
        <f>IF($B53="","",SUMIFS(Tehingud!$E$8:$E$407,Tehingud!$D$8:$D$407,$B53,Tehingud!$B$8:$B$407,"&gt;="&amp;DATE($C$7,1,1),Tehingud!$B$8:$B$407,"&lt;"&amp;DATE($C$7,2,1)))</f>
        <v/>
      </c>
      <c r="D53" s="63">
        <f>IF($B53="","",SUMIFS(Tehingud!$E$8:$E$407,Tehingud!$D$8:$D$407,$B53,Tehingud!$B$8:$B$407,"&gt;="&amp;DATE($C$7,2,1),Tehingud!$B$8:$B$407,"&lt;"&amp;DATE($C$7,3,1)))</f>
        <v/>
      </c>
      <c r="E53" s="63">
        <f>IF($B53="","",SUMIFS(Tehingud!$E$8:$E$407,Tehingud!$D$8:$D$407,$B53,Tehingud!$B$8:$B$407,"&gt;="&amp;DATE($C$7,3,1),Tehingud!$B$8:$B$407,"&lt;"&amp;DATE($C$7,4,1)))</f>
        <v/>
      </c>
      <c r="F53" s="63">
        <f>IF($B53="","",SUMIFS(Tehingud!$E$8:$E$407,Tehingud!$D$8:$D$407,$B53,Tehingud!$B$8:$B$407,"&gt;="&amp;DATE($C$7,4,1),Tehingud!$B$8:$B$407,"&lt;"&amp;DATE($C$7,5,1)))</f>
        <v/>
      </c>
      <c r="G53" s="63">
        <f>IF($B53="","",SUMIFS(Tehingud!$E$8:$E$407,Tehingud!$D$8:$D$407,$B53,Tehingud!$B$8:$B$407,"&gt;="&amp;DATE($C$7,5,1),Tehingud!$B$8:$B$407,"&lt;"&amp;DATE($C$7,6,1)))</f>
        <v/>
      </c>
      <c r="H53" s="63">
        <f>IF($B53="","",SUMIFS(Tehingud!$E$8:$E$407,Tehingud!$D$8:$D$407,$B53,Tehingud!$B$8:$B$407,"&gt;="&amp;DATE($C$7,6,1),Tehingud!$B$8:$B$407,"&lt;"&amp;DATE($C$7,7,1)))</f>
        <v/>
      </c>
      <c r="I53" s="63">
        <f>IF($B53="","",SUMIFS(Tehingud!$E$8:$E$407,Tehingud!$D$8:$D$407,$B53,Tehingud!$B$8:$B$407,"&gt;="&amp;DATE($C$7,7,1),Tehingud!$B$8:$B$407,"&lt;"&amp;DATE($C$7,8,1)))</f>
        <v/>
      </c>
      <c r="J53" s="63">
        <f>IF($B53="","",SUMIFS(Tehingud!$E$8:$E$407,Tehingud!$D$8:$D$407,$B53,Tehingud!$B$8:$B$407,"&gt;="&amp;DATE($C$7,8,1),Tehingud!$B$8:$B$407,"&lt;"&amp;DATE($C$7,9,1)))</f>
        <v/>
      </c>
      <c r="K53" s="63">
        <f>IF($B53="","",SUMIFS(Tehingud!$E$8:$E$407,Tehingud!$D$8:$D$407,$B53,Tehingud!$B$8:$B$407,"&gt;="&amp;DATE($C$7,9,1),Tehingud!$B$8:$B$407,"&lt;"&amp;DATE($C$7,10,1)))</f>
        <v/>
      </c>
      <c r="L53" s="63">
        <f>IF($B53="","",SUMIFS(Tehingud!$E$8:$E$407,Tehingud!$D$8:$D$407,$B53,Tehingud!$B$8:$B$407,"&gt;="&amp;DATE($C$7,10,1),Tehingud!$B$8:$B$407,"&lt;"&amp;DATE($C$7,11,1)))</f>
        <v/>
      </c>
      <c r="M53" s="63">
        <f>IF($B53="","",SUMIFS(Tehingud!$E$8:$E$407,Tehingud!$D$8:$D$407,$B53,Tehingud!$B$8:$B$407,"&gt;="&amp;DATE($C$7,11,1),Tehingud!$B$8:$B$407,"&lt;"&amp;DATE($C$7,12,1)))</f>
        <v/>
      </c>
      <c r="N53" s="63">
        <f>IF($B53="","",SUMIFS(Tehingud!$E$8:$E$407,Tehingud!$D$8:$D$407,$B53,Tehingud!$B$8:$B$407,"&gt;="&amp;DATE($C$7,12,1),Tehingud!$B$8:$B$407,"&lt;"&amp;DATE($C$7,13,1)))</f>
        <v/>
      </c>
      <c r="O53" s="64">
        <f>IF($B53="","",SUM(C53:N53))</f>
        <v/>
      </c>
      <c r="P53" s="65">
        <f>IF(OR($B53="",$F$23=""),"",O53/COUNTIF($C$10:$C$21,"&gt;0"))</f>
        <v/>
      </c>
      <c r="Q53" s="66">
        <f>IF(OR($B53="",N($D$22)=0),"",O53/$D$22)</f>
        <v/>
      </c>
    </row>
    <row r="54" ht="19" customHeight="1">
      <c r="B54" s="62">
        <f>IF(Eelarve!B57="","",Eelarve!B57)</f>
        <v/>
      </c>
      <c r="C54" s="63">
        <f>IF($B54="","",SUMIFS(Tehingud!$E$8:$E$407,Tehingud!$D$8:$D$407,$B54,Tehingud!$B$8:$B$407,"&gt;="&amp;DATE($C$7,1,1),Tehingud!$B$8:$B$407,"&lt;"&amp;DATE($C$7,2,1)))</f>
        <v/>
      </c>
      <c r="D54" s="63">
        <f>IF($B54="","",SUMIFS(Tehingud!$E$8:$E$407,Tehingud!$D$8:$D$407,$B54,Tehingud!$B$8:$B$407,"&gt;="&amp;DATE($C$7,2,1),Tehingud!$B$8:$B$407,"&lt;"&amp;DATE($C$7,3,1)))</f>
        <v/>
      </c>
      <c r="E54" s="63">
        <f>IF($B54="","",SUMIFS(Tehingud!$E$8:$E$407,Tehingud!$D$8:$D$407,$B54,Tehingud!$B$8:$B$407,"&gt;="&amp;DATE($C$7,3,1),Tehingud!$B$8:$B$407,"&lt;"&amp;DATE($C$7,4,1)))</f>
        <v/>
      </c>
      <c r="F54" s="63">
        <f>IF($B54="","",SUMIFS(Tehingud!$E$8:$E$407,Tehingud!$D$8:$D$407,$B54,Tehingud!$B$8:$B$407,"&gt;="&amp;DATE($C$7,4,1),Tehingud!$B$8:$B$407,"&lt;"&amp;DATE($C$7,5,1)))</f>
        <v/>
      </c>
      <c r="G54" s="63">
        <f>IF($B54="","",SUMIFS(Tehingud!$E$8:$E$407,Tehingud!$D$8:$D$407,$B54,Tehingud!$B$8:$B$407,"&gt;="&amp;DATE($C$7,5,1),Tehingud!$B$8:$B$407,"&lt;"&amp;DATE($C$7,6,1)))</f>
        <v/>
      </c>
      <c r="H54" s="63">
        <f>IF($B54="","",SUMIFS(Tehingud!$E$8:$E$407,Tehingud!$D$8:$D$407,$B54,Tehingud!$B$8:$B$407,"&gt;="&amp;DATE($C$7,6,1),Tehingud!$B$8:$B$407,"&lt;"&amp;DATE($C$7,7,1)))</f>
        <v/>
      </c>
      <c r="I54" s="63">
        <f>IF($B54="","",SUMIFS(Tehingud!$E$8:$E$407,Tehingud!$D$8:$D$407,$B54,Tehingud!$B$8:$B$407,"&gt;="&amp;DATE($C$7,7,1),Tehingud!$B$8:$B$407,"&lt;"&amp;DATE($C$7,8,1)))</f>
        <v/>
      </c>
      <c r="J54" s="63">
        <f>IF($B54="","",SUMIFS(Tehingud!$E$8:$E$407,Tehingud!$D$8:$D$407,$B54,Tehingud!$B$8:$B$407,"&gt;="&amp;DATE($C$7,8,1),Tehingud!$B$8:$B$407,"&lt;"&amp;DATE($C$7,9,1)))</f>
        <v/>
      </c>
      <c r="K54" s="63">
        <f>IF($B54="","",SUMIFS(Tehingud!$E$8:$E$407,Tehingud!$D$8:$D$407,$B54,Tehingud!$B$8:$B$407,"&gt;="&amp;DATE($C$7,9,1),Tehingud!$B$8:$B$407,"&lt;"&amp;DATE($C$7,10,1)))</f>
        <v/>
      </c>
      <c r="L54" s="63">
        <f>IF($B54="","",SUMIFS(Tehingud!$E$8:$E$407,Tehingud!$D$8:$D$407,$B54,Tehingud!$B$8:$B$407,"&gt;="&amp;DATE($C$7,10,1),Tehingud!$B$8:$B$407,"&lt;"&amp;DATE($C$7,11,1)))</f>
        <v/>
      </c>
      <c r="M54" s="63">
        <f>IF($B54="","",SUMIFS(Tehingud!$E$8:$E$407,Tehingud!$D$8:$D$407,$B54,Tehingud!$B$8:$B$407,"&gt;="&amp;DATE($C$7,11,1),Tehingud!$B$8:$B$407,"&lt;"&amp;DATE($C$7,12,1)))</f>
        <v/>
      </c>
      <c r="N54" s="63">
        <f>IF($B54="","",SUMIFS(Tehingud!$E$8:$E$407,Tehingud!$D$8:$D$407,$B54,Tehingud!$B$8:$B$407,"&gt;="&amp;DATE($C$7,12,1),Tehingud!$B$8:$B$407,"&lt;"&amp;DATE($C$7,13,1)))</f>
        <v/>
      </c>
      <c r="O54" s="64">
        <f>IF($B54="","",SUM(C54:N54))</f>
        <v/>
      </c>
      <c r="P54" s="65">
        <f>IF(OR($B54="",$F$23=""),"",O54/COUNTIF($C$10:$C$21,"&gt;0"))</f>
        <v/>
      </c>
      <c r="Q54" s="66">
        <f>IF(OR($B54="",N($D$22)=0),"",O54/$D$22)</f>
        <v/>
      </c>
    </row>
    <row r="55" ht="19" customHeight="1">
      <c r="B55" s="62">
        <f>IF(Eelarve!B58="","",Eelarve!B58)</f>
        <v/>
      </c>
      <c r="C55" s="63">
        <f>IF($B55="","",SUMIFS(Tehingud!$E$8:$E$407,Tehingud!$D$8:$D$407,$B55,Tehingud!$B$8:$B$407,"&gt;="&amp;DATE($C$7,1,1),Tehingud!$B$8:$B$407,"&lt;"&amp;DATE($C$7,2,1)))</f>
        <v/>
      </c>
      <c r="D55" s="63">
        <f>IF($B55="","",SUMIFS(Tehingud!$E$8:$E$407,Tehingud!$D$8:$D$407,$B55,Tehingud!$B$8:$B$407,"&gt;="&amp;DATE($C$7,2,1),Tehingud!$B$8:$B$407,"&lt;"&amp;DATE($C$7,3,1)))</f>
        <v/>
      </c>
      <c r="E55" s="63">
        <f>IF($B55="","",SUMIFS(Tehingud!$E$8:$E$407,Tehingud!$D$8:$D$407,$B55,Tehingud!$B$8:$B$407,"&gt;="&amp;DATE($C$7,3,1),Tehingud!$B$8:$B$407,"&lt;"&amp;DATE($C$7,4,1)))</f>
        <v/>
      </c>
      <c r="F55" s="63">
        <f>IF($B55="","",SUMIFS(Tehingud!$E$8:$E$407,Tehingud!$D$8:$D$407,$B55,Tehingud!$B$8:$B$407,"&gt;="&amp;DATE($C$7,4,1),Tehingud!$B$8:$B$407,"&lt;"&amp;DATE($C$7,5,1)))</f>
        <v/>
      </c>
      <c r="G55" s="63">
        <f>IF($B55="","",SUMIFS(Tehingud!$E$8:$E$407,Tehingud!$D$8:$D$407,$B55,Tehingud!$B$8:$B$407,"&gt;="&amp;DATE($C$7,5,1),Tehingud!$B$8:$B$407,"&lt;"&amp;DATE($C$7,6,1)))</f>
        <v/>
      </c>
      <c r="H55" s="63">
        <f>IF($B55="","",SUMIFS(Tehingud!$E$8:$E$407,Tehingud!$D$8:$D$407,$B55,Tehingud!$B$8:$B$407,"&gt;="&amp;DATE($C$7,6,1),Tehingud!$B$8:$B$407,"&lt;"&amp;DATE($C$7,7,1)))</f>
        <v/>
      </c>
      <c r="I55" s="63">
        <f>IF($B55="","",SUMIFS(Tehingud!$E$8:$E$407,Tehingud!$D$8:$D$407,$B55,Tehingud!$B$8:$B$407,"&gt;="&amp;DATE($C$7,7,1),Tehingud!$B$8:$B$407,"&lt;"&amp;DATE($C$7,8,1)))</f>
        <v/>
      </c>
      <c r="J55" s="63">
        <f>IF($B55="","",SUMIFS(Tehingud!$E$8:$E$407,Tehingud!$D$8:$D$407,$B55,Tehingud!$B$8:$B$407,"&gt;="&amp;DATE($C$7,8,1),Tehingud!$B$8:$B$407,"&lt;"&amp;DATE($C$7,9,1)))</f>
        <v/>
      </c>
      <c r="K55" s="63">
        <f>IF($B55="","",SUMIFS(Tehingud!$E$8:$E$407,Tehingud!$D$8:$D$407,$B55,Tehingud!$B$8:$B$407,"&gt;="&amp;DATE($C$7,9,1),Tehingud!$B$8:$B$407,"&lt;"&amp;DATE($C$7,10,1)))</f>
        <v/>
      </c>
      <c r="L55" s="63">
        <f>IF($B55="","",SUMIFS(Tehingud!$E$8:$E$407,Tehingud!$D$8:$D$407,$B55,Tehingud!$B$8:$B$407,"&gt;="&amp;DATE($C$7,10,1),Tehingud!$B$8:$B$407,"&lt;"&amp;DATE($C$7,11,1)))</f>
        <v/>
      </c>
      <c r="M55" s="63">
        <f>IF($B55="","",SUMIFS(Tehingud!$E$8:$E$407,Tehingud!$D$8:$D$407,$B55,Tehingud!$B$8:$B$407,"&gt;="&amp;DATE($C$7,11,1),Tehingud!$B$8:$B$407,"&lt;"&amp;DATE($C$7,12,1)))</f>
        <v/>
      </c>
      <c r="N55" s="63">
        <f>IF($B55="","",SUMIFS(Tehingud!$E$8:$E$407,Tehingud!$D$8:$D$407,$B55,Tehingud!$B$8:$B$407,"&gt;="&amp;DATE($C$7,12,1),Tehingud!$B$8:$B$407,"&lt;"&amp;DATE($C$7,13,1)))</f>
        <v/>
      </c>
      <c r="O55" s="64">
        <f>IF($B55="","",SUM(C55:N55))</f>
        <v/>
      </c>
      <c r="P55" s="65">
        <f>IF(OR($B55="",$F$23=""),"",O55/COUNTIF($C$10:$C$21,"&gt;0"))</f>
        <v/>
      </c>
      <c r="Q55" s="66">
        <f>IF(OR($B55="",N($D$22)=0),"",O55/$D$22)</f>
        <v/>
      </c>
    </row>
    <row r="56" ht="19" customHeight="1">
      <c r="B56" s="62">
        <f>IF(Eelarve!B59="","",Eelarve!B59)</f>
        <v/>
      </c>
      <c r="C56" s="63">
        <f>IF($B56="","",SUMIFS(Tehingud!$E$8:$E$407,Tehingud!$D$8:$D$407,$B56,Tehingud!$B$8:$B$407,"&gt;="&amp;DATE($C$7,1,1),Tehingud!$B$8:$B$407,"&lt;"&amp;DATE($C$7,2,1)))</f>
        <v/>
      </c>
      <c r="D56" s="63">
        <f>IF($B56="","",SUMIFS(Tehingud!$E$8:$E$407,Tehingud!$D$8:$D$407,$B56,Tehingud!$B$8:$B$407,"&gt;="&amp;DATE($C$7,2,1),Tehingud!$B$8:$B$407,"&lt;"&amp;DATE($C$7,3,1)))</f>
        <v/>
      </c>
      <c r="E56" s="63">
        <f>IF($B56="","",SUMIFS(Tehingud!$E$8:$E$407,Tehingud!$D$8:$D$407,$B56,Tehingud!$B$8:$B$407,"&gt;="&amp;DATE($C$7,3,1),Tehingud!$B$8:$B$407,"&lt;"&amp;DATE($C$7,4,1)))</f>
        <v/>
      </c>
      <c r="F56" s="63">
        <f>IF($B56="","",SUMIFS(Tehingud!$E$8:$E$407,Tehingud!$D$8:$D$407,$B56,Tehingud!$B$8:$B$407,"&gt;="&amp;DATE($C$7,4,1),Tehingud!$B$8:$B$407,"&lt;"&amp;DATE($C$7,5,1)))</f>
        <v/>
      </c>
      <c r="G56" s="63">
        <f>IF($B56="","",SUMIFS(Tehingud!$E$8:$E$407,Tehingud!$D$8:$D$407,$B56,Tehingud!$B$8:$B$407,"&gt;="&amp;DATE($C$7,5,1),Tehingud!$B$8:$B$407,"&lt;"&amp;DATE($C$7,6,1)))</f>
        <v/>
      </c>
      <c r="H56" s="63">
        <f>IF($B56="","",SUMIFS(Tehingud!$E$8:$E$407,Tehingud!$D$8:$D$407,$B56,Tehingud!$B$8:$B$407,"&gt;="&amp;DATE($C$7,6,1),Tehingud!$B$8:$B$407,"&lt;"&amp;DATE($C$7,7,1)))</f>
        <v/>
      </c>
      <c r="I56" s="63">
        <f>IF($B56="","",SUMIFS(Tehingud!$E$8:$E$407,Tehingud!$D$8:$D$407,$B56,Tehingud!$B$8:$B$407,"&gt;="&amp;DATE($C$7,7,1),Tehingud!$B$8:$B$407,"&lt;"&amp;DATE($C$7,8,1)))</f>
        <v/>
      </c>
      <c r="J56" s="63">
        <f>IF($B56="","",SUMIFS(Tehingud!$E$8:$E$407,Tehingud!$D$8:$D$407,$B56,Tehingud!$B$8:$B$407,"&gt;="&amp;DATE($C$7,8,1),Tehingud!$B$8:$B$407,"&lt;"&amp;DATE($C$7,9,1)))</f>
        <v/>
      </c>
      <c r="K56" s="63">
        <f>IF($B56="","",SUMIFS(Tehingud!$E$8:$E$407,Tehingud!$D$8:$D$407,$B56,Tehingud!$B$8:$B$407,"&gt;="&amp;DATE($C$7,9,1),Tehingud!$B$8:$B$407,"&lt;"&amp;DATE($C$7,10,1)))</f>
        <v/>
      </c>
      <c r="L56" s="63">
        <f>IF($B56="","",SUMIFS(Tehingud!$E$8:$E$407,Tehingud!$D$8:$D$407,$B56,Tehingud!$B$8:$B$407,"&gt;="&amp;DATE($C$7,10,1),Tehingud!$B$8:$B$407,"&lt;"&amp;DATE($C$7,11,1)))</f>
        <v/>
      </c>
      <c r="M56" s="63">
        <f>IF($B56="","",SUMIFS(Tehingud!$E$8:$E$407,Tehingud!$D$8:$D$407,$B56,Tehingud!$B$8:$B$407,"&gt;="&amp;DATE($C$7,11,1),Tehingud!$B$8:$B$407,"&lt;"&amp;DATE($C$7,12,1)))</f>
        <v/>
      </c>
      <c r="N56" s="63">
        <f>IF($B56="","",SUMIFS(Tehingud!$E$8:$E$407,Tehingud!$D$8:$D$407,$B56,Tehingud!$B$8:$B$407,"&gt;="&amp;DATE($C$7,12,1),Tehingud!$B$8:$B$407,"&lt;"&amp;DATE($C$7,13,1)))</f>
        <v/>
      </c>
      <c r="O56" s="64">
        <f>IF($B56="","",SUM(C56:N56))</f>
        <v/>
      </c>
      <c r="P56" s="65">
        <f>IF(OR($B56="",$F$23=""),"",O56/COUNTIF($C$10:$C$21,"&gt;0"))</f>
        <v/>
      </c>
      <c r="Q56" s="66">
        <f>IF(OR($B56="",N($D$22)=0),"",O56/$D$22)</f>
        <v/>
      </c>
    </row>
    <row r="57" ht="19" customHeight="1">
      <c r="B57" s="62">
        <f>IF(Eelarve!B60="","",Eelarve!B60)</f>
        <v/>
      </c>
      <c r="C57" s="63">
        <f>IF($B57="","",SUMIFS(Tehingud!$E$8:$E$407,Tehingud!$D$8:$D$407,$B57,Tehingud!$B$8:$B$407,"&gt;="&amp;DATE($C$7,1,1),Tehingud!$B$8:$B$407,"&lt;"&amp;DATE($C$7,2,1)))</f>
        <v/>
      </c>
      <c r="D57" s="63">
        <f>IF($B57="","",SUMIFS(Tehingud!$E$8:$E$407,Tehingud!$D$8:$D$407,$B57,Tehingud!$B$8:$B$407,"&gt;="&amp;DATE($C$7,2,1),Tehingud!$B$8:$B$407,"&lt;"&amp;DATE($C$7,3,1)))</f>
        <v/>
      </c>
      <c r="E57" s="63">
        <f>IF($B57="","",SUMIFS(Tehingud!$E$8:$E$407,Tehingud!$D$8:$D$407,$B57,Tehingud!$B$8:$B$407,"&gt;="&amp;DATE($C$7,3,1),Tehingud!$B$8:$B$407,"&lt;"&amp;DATE($C$7,4,1)))</f>
        <v/>
      </c>
      <c r="F57" s="63">
        <f>IF($B57="","",SUMIFS(Tehingud!$E$8:$E$407,Tehingud!$D$8:$D$407,$B57,Tehingud!$B$8:$B$407,"&gt;="&amp;DATE($C$7,4,1),Tehingud!$B$8:$B$407,"&lt;"&amp;DATE($C$7,5,1)))</f>
        <v/>
      </c>
      <c r="G57" s="63">
        <f>IF($B57="","",SUMIFS(Tehingud!$E$8:$E$407,Tehingud!$D$8:$D$407,$B57,Tehingud!$B$8:$B$407,"&gt;="&amp;DATE($C$7,5,1),Tehingud!$B$8:$B$407,"&lt;"&amp;DATE($C$7,6,1)))</f>
        <v/>
      </c>
      <c r="H57" s="63">
        <f>IF($B57="","",SUMIFS(Tehingud!$E$8:$E$407,Tehingud!$D$8:$D$407,$B57,Tehingud!$B$8:$B$407,"&gt;="&amp;DATE($C$7,6,1),Tehingud!$B$8:$B$407,"&lt;"&amp;DATE($C$7,7,1)))</f>
        <v/>
      </c>
      <c r="I57" s="63">
        <f>IF($B57="","",SUMIFS(Tehingud!$E$8:$E$407,Tehingud!$D$8:$D$407,$B57,Tehingud!$B$8:$B$407,"&gt;="&amp;DATE($C$7,7,1),Tehingud!$B$8:$B$407,"&lt;"&amp;DATE($C$7,8,1)))</f>
        <v/>
      </c>
      <c r="J57" s="63">
        <f>IF($B57="","",SUMIFS(Tehingud!$E$8:$E$407,Tehingud!$D$8:$D$407,$B57,Tehingud!$B$8:$B$407,"&gt;="&amp;DATE($C$7,8,1),Tehingud!$B$8:$B$407,"&lt;"&amp;DATE($C$7,9,1)))</f>
        <v/>
      </c>
      <c r="K57" s="63">
        <f>IF($B57="","",SUMIFS(Tehingud!$E$8:$E$407,Tehingud!$D$8:$D$407,$B57,Tehingud!$B$8:$B$407,"&gt;="&amp;DATE($C$7,9,1),Tehingud!$B$8:$B$407,"&lt;"&amp;DATE($C$7,10,1)))</f>
        <v/>
      </c>
      <c r="L57" s="63">
        <f>IF($B57="","",SUMIFS(Tehingud!$E$8:$E$407,Tehingud!$D$8:$D$407,$B57,Tehingud!$B$8:$B$407,"&gt;="&amp;DATE($C$7,10,1),Tehingud!$B$8:$B$407,"&lt;"&amp;DATE($C$7,11,1)))</f>
        <v/>
      </c>
      <c r="M57" s="63">
        <f>IF($B57="","",SUMIFS(Tehingud!$E$8:$E$407,Tehingud!$D$8:$D$407,$B57,Tehingud!$B$8:$B$407,"&gt;="&amp;DATE($C$7,11,1),Tehingud!$B$8:$B$407,"&lt;"&amp;DATE($C$7,12,1)))</f>
        <v/>
      </c>
      <c r="N57" s="63">
        <f>IF($B57="","",SUMIFS(Tehingud!$E$8:$E$407,Tehingud!$D$8:$D$407,$B57,Tehingud!$B$8:$B$407,"&gt;="&amp;DATE($C$7,12,1),Tehingud!$B$8:$B$407,"&lt;"&amp;DATE($C$7,13,1)))</f>
        <v/>
      </c>
      <c r="O57" s="64">
        <f>IF($B57="","",SUM(C57:N57))</f>
        <v/>
      </c>
      <c r="P57" s="65">
        <f>IF(OR($B57="",$F$23=""),"",O57/COUNTIF($C$10:$C$21,"&gt;0"))</f>
        <v/>
      </c>
      <c r="Q57" s="66">
        <f>IF(OR($B57="",N($D$22)=0),"",O57/$D$22)</f>
        <v/>
      </c>
    </row>
    <row r="58" ht="19" customHeight="1">
      <c r="B58" s="62">
        <f>IF(Eelarve!B61="","",Eelarve!B61)</f>
        <v/>
      </c>
      <c r="C58" s="63">
        <f>IF($B58="","",SUMIFS(Tehingud!$E$8:$E$407,Tehingud!$D$8:$D$407,$B58,Tehingud!$B$8:$B$407,"&gt;="&amp;DATE($C$7,1,1),Tehingud!$B$8:$B$407,"&lt;"&amp;DATE($C$7,2,1)))</f>
        <v/>
      </c>
      <c r="D58" s="63">
        <f>IF($B58="","",SUMIFS(Tehingud!$E$8:$E$407,Tehingud!$D$8:$D$407,$B58,Tehingud!$B$8:$B$407,"&gt;="&amp;DATE($C$7,2,1),Tehingud!$B$8:$B$407,"&lt;"&amp;DATE($C$7,3,1)))</f>
        <v/>
      </c>
      <c r="E58" s="63">
        <f>IF($B58="","",SUMIFS(Tehingud!$E$8:$E$407,Tehingud!$D$8:$D$407,$B58,Tehingud!$B$8:$B$407,"&gt;="&amp;DATE($C$7,3,1),Tehingud!$B$8:$B$407,"&lt;"&amp;DATE($C$7,4,1)))</f>
        <v/>
      </c>
      <c r="F58" s="63">
        <f>IF($B58="","",SUMIFS(Tehingud!$E$8:$E$407,Tehingud!$D$8:$D$407,$B58,Tehingud!$B$8:$B$407,"&gt;="&amp;DATE($C$7,4,1),Tehingud!$B$8:$B$407,"&lt;"&amp;DATE($C$7,5,1)))</f>
        <v/>
      </c>
      <c r="G58" s="63">
        <f>IF($B58="","",SUMIFS(Tehingud!$E$8:$E$407,Tehingud!$D$8:$D$407,$B58,Tehingud!$B$8:$B$407,"&gt;="&amp;DATE($C$7,5,1),Tehingud!$B$8:$B$407,"&lt;"&amp;DATE($C$7,6,1)))</f>
        <v/>
      </c>
      <c r="H58" s="63">
        <f>IF($B58="","",SUMIFS(Tehingud!$E$8:$E$407,Tehingud!$D$8:$D$407,$B58,Tehingud!$B$8:$B$407,"&gt;="&amp;DATE($C$7,6,1),Tehingud!$B$8:$B$407,"&lt;"&amp;DATE($C$7,7,1)))</f>
        <v/>
      </c>
      <c r="I58" s="63">
        <f>IF($B58="","",SUMIFS(Tehingud!$E$8:$E$407,Tehingud!$D$8:$D$407,$B58,Tehingud!$B$8:$B$407,"&gt;="&amp;DATE($C$7,7,1),Tehingud!$B$8:$B$407,"&lt;"&amp;DATE($C$7,8,1)))</f>
        <v/>
      </c>
      <c r="J58" s="63">
        <f>IF($B58="","",SUMIFS(Tehingud!$E$8:$E$407,Tehingud!$D$8:$D$407,$B58,Tehingud!$B$8:$B$407,"&gt;="&amp;DATE($C$7,8,1),Tehingud!$B$8:$B$407,"&lt;"&amp;DATE($C$7,9,1)))</f>
        <v/>
      </c>
      <c r="K58" s="63">
        <f>IF($B58="","",SUMIFS(Tehingud!$E$8:$E$407,Tehingud!$D$8:$D$407,$B58,Tehingud!$B$8:$B$407,"&gt;="&amp;DATE($C$7,9,1),Tehingud!$B$8:$B$407,"&lt;"&amp;DATE($C$7,10,1)))</f>
        <v/>
      </c>
      <c r="L58" s="63">
        <f>IF($B58="","",SUMIFS(Tehingud!$E$8:$E$407,Tehingud!$D$8:$D$407,$B58,Tehingud!$B$8:$B$407,"&gt;="&amp;DATE($C$7,10,1),Tehingud!$B$8:$B$407,"&lt;"&amp;DATE($C$7,11,1)))</f>
        <v/>
      </c>
      <c r="M58" s="63">
        <f>IF($B58="","",SUMIFS(Tehingud!$E$8:$E$407,Tehingud!$D$8:$D$407,$B58,Tehingud!$B$8:$B$407,"&gt;="&amp;DATE($C$7,11,1),Tehingud!$B$8:$B$407,"&lt;"&amp;DATE($C$7,12,1)))</f>
        <v/>
      </c>
      <c r="N58" s="63">
        <f>IF($B58="","",SUMIFS(Tehingud!$E$8:$E$407,Tehingud!$D$8:$D$407,$B58,Tehingud!$B$8:$B$407,"&gt;="&amp;DATE($C$7,12,1),Tehingud!$B$8:$B$407,"&lt;"&amp;DATE($C$7,13,1)))</f>
        <v/>
      </c>
      <c r="O58" s="64">
        <f>IF($B58="","",SUM(C58:N58))</f>
        <v/>
      </c>
      <c r="P58" s="65">
        <f>IF(OR($B58="",$F$23=""),"",O58/COUNTIF($C$10:$C$21,"&gt;0"))</f>
        <v/>
      </c>
      <c r="Q58" s="66">
        <f>IF(OR($B58="",N($D$22)=0),"",O58/$D$22)</f>
        <v/>
      </c>
    </row>
    <row r="59" ht="19" customHeight="1">
      <c r="B59" s="62">
        <f>IF(Eelarve!B62="","",Eelarve!B62)</f>
        <v/>
      </c>
      <c r="C59" s="63">
        <f>IF($B59="","",SUMIFS(Tehingud!$E$8:$E$407,Tehingud!$D$8:$D$407,$B59,Tehingud!$B$8:$B$407,"&gt;="&amp;DATE($C$7,1,1),Tehingud!$B$8:$B$407,"&lt;"&amp;DATE($C$7,2,1)))</f>
        <v/>
      </c>
      <c r="D59" s="63">
        <f>IF($B59="","",SUMIFS(Tehingud!$E$8:$E$407,Tehingud!$D$8:$D$407,$B59,Tehingud!$B$8:$B$407,"&gt;="&amp;DATE($C$7,2,1),Tehingud!$B$8:$B$407,"&lt;"&amp;DATE($C$7,3,1)))</f>
        <v/>
      </c>
      <c r="E59" s="63">
        <f>IF($B59="","",SUMIFS(Tehingud!$E$8:$E$407,Tehingud!$D$8:$D$407,$B59,Tehingud!$B$8:$B$407,"&gt;="&amp;DATE($C$7,3,1),Tehingud!$B$8:$B$407,"&lt;"&amp;DATE($C$7,4,1)))</f>
        <v/>
      </c>
      <c r="F59" s="63">
        <f>IF($B59="","",SUMIFS(Tehingud!$E$8:$E$407,Tehingud!$D$8:$D$407,$B59,Tehingud!$B$8:$B$407,"&gt;="&amp;DATE($C$7,4,1),Tehingud!$B$8:$B$407,"&lt;"&amp;DATE($C$7,5,1)))</f>
        <v/>
      </c>
      <c r="G59" s="63">
        <f>IF($B59="","",SUMIFS(Tehingud!$E$8:$E$407,Tehingud!$D$8:$D$407,$B59,Tehingud!$B$8:$B$407,"&gt;="&amp;DATE($C$7,5,1),Tehingud!$B$8:$B$407,"&lt;"&amp;DATE($C$7,6,1)))</f>
        <v/>
      </c>
      <c r="H59" s="63">
        <f>IF($B59="","",SUMIFS(Tehingud!$E$8:$E$407,Tehingud!$D$8:$D$407,$B59,Tehingud!$B$8:$B$407,"&gt;="&amp;DATE($C$7,6,1),Tehingud!$B$8:$B$407,"&lt;"&amp;DATE($C$7,7,1)))</f>
        <v/>
      </c>
      <c r="I59" s="63">
        <f>IF($B59="","",SUMIFS(Tehingud!$E$8:$E$407,Tehingud!$D$8:$D$407,$B59,Tehingud!$B$8:$B$407,"&gt;="&amp;DATE($C$7,7,1),Tehingud!$B$8:$B$407,"&lt;"&amp;DATE($C$7,8,1)))</f>
        <v/>
      </c>
      <c r="J59" s="63">
        <f>IF($B59="","",SUMIFS(Tehingud!$E$8:$E$407,Tehingud!$D$8:$D$407,$B59,Tehingud!$B$8:$B$407,"&gt;="&amp;DATE($C$7,8,1),Tehingud!$B$8:$B$407,"&lt;"&amp;DATE($C$7,9,1)))</f>
        <v/>
      </c>
      <c r="K59" s="63">
        <f>IF($B59="","",SUMIFS(Tehingud!$E$8:$E$407,Tehingud!$D$8:$D$407,$B59,Tehingud!$B$8:$B$407,"&gt;="&amp;DATE($C$7,9,1),Tehingud!$B$8:$B$407,"&lt;"&amp;DATE($C$7,10,1)))</f>
        <v/>
      </c>
      <c r="L59" s="63">
        <f>IF($B59="","",SUMIFS(Tehingud!$E$8:$E$407,Tehingud!$D$8:$D$407,$B59,Tehingud!$B$8:$B$407,"&gt;="&amp;DATE($C$7,10,1),Tehingud!$B$8:$B$407,"&lt;"&amp;DATE($C$7,11,1)))</f>
        <v/>
      </c>
      <c r="M59" s="63">
        <f>IF($B59="","",SUMIFS(Tehingud!$E$8:$E$407,Tehingud!$D$8:$D$407,$B59,Tehingud!$B$8:$B$407,"&gt;="&amp;DATE($C$7,11,1),Tehingud!$B$8:$B$407,"&lt;"&amp;DATE($C$7,12,1)))</f>
        <v/>
      </c>
      <c r="N59" s="63">
        <f>IF($B59="","",SUMIFS(Tehingud!$E$8:$E$407,Tehingud!$D$8:$D$407,$B59,Tehingud!$B$8:$B$407,"&gt;="&amp;DATE($C$7,12,1),Tehingud!$B$8:$B$407,"&lt;"&amp;DATE($C$7,13,1)))</f>
        <v/>
      </c>
      <c r="O59" s="64">
        <f>IF($B59="","",SUM(C59:N59))</f>
        <v/>
      </c>
      <c r="P59" s="65">
        <f>IF(OR($B59="",$F$23=""),"",O59/COUNTIF($C$10:$C$21,"&gt;0"))</f>
        <v/>
      </c>
      <c r="Q59" s="66">
        <f>IF(OR($B59="",N($D$22)=0),"",O59/$D$22)</f>
        <v/>
      </c>
    </row>
    <row r="60">
      <c r="B60" s="38" t="inlineStr">
        <is>
          <t>Tumedam roheline = sel kuul kulus sellele reale rohkem raha.</t>
        </is>
      </c>
    </row>
  </sheetData>
  <conditionalFormatting sqref="F10:F22">
    <cfRule type="expression" priority="1" dxfId="0">
      <formula>F10&lt;0</formula>
    </cfRule>
  </conditionalFormatting>
  <conditionalFormatting sqref="C28:N59">
    <cfRule type="colorScale" priority="2">
      <colorScale>
        <cfvo type="num" val="0"/>
        <cfvo type="max"/>
        <color rgb="00FFFFFF"/>
        <color rgb="007FD08C"/>
      </colorScale>
    </cfRule>
  </conditionalFormatting>
  <conditionalFormatting sqref="Q28:Q59">
    <cfRule type="colorScale" priority="3">
      <colorScale>
        <cfvo type="num" val="0"/>
        <cfvo type="max"/>
        <color rgb="00FFFFFF"/>
        <color rgb="00C1C6D2"/>
      </colorScale>
    </cfRule>
  </conditionalFormatting>
  <printOptions horizontalCentered="1"/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D66"/>
  <sheetViews>
    <sheetView zoomScale="100" workbookViewId="0">
      <selection activeCell="A1" sqref="A1"/>
    </sheetView>
  </sheetViews>
  <sheetFormatPr baseColWidth="8" defaultRowHeight="15"/>
  <sheetData>
    <row r="1">
      <c r="A1" t="inlineStr">
        <is>
          <t>Kuud</t>
        </is>
      </c>
      <c r="B1" t="inlineStr">
        <is>
          <t>Tüübid</t>
        </is>
      </c>
      <c r="D1" t="inlineStr">
        <is>
          <t>Kategooriad</t>
        </is>
      </c>
    </row>
    <row r="2">
      <c r="A2" t="inlineStr">
        <is>
          <t>jaanuar</t>
        </is>
      </c>
      <c r="B2" t="inlineStr">
        <is>
          <t>Tulu</t>
        </is>
      </c>
      <c r="D2">
        <f>IF(Eelarve!B9="","",Eelarve!B9)</f>
        <v/>
      </c>
    </row>
    <row r="3">
      <c r="A3" t="inlineStr">
        <is>
          <t>veebruar</t>
        </is>
      </c>
      <c r="B3" t="inlineStr">
        <is>
          <t>Kulu</t>
        </is>
      </c>
      <c r="D3">
        <f>IF(Eelarve!B10="","",Eelarve!B10)</f>
        <v/>
      </c>
    </row>
    <row r="4">
      <c r="A4" t="inlineStr">
        <is>
          <t>märts</t>
        </is>
      </c>
      <c r="B4" t="inlineStr">
        <is>
          <t>Säästmine</t>
        </is>
      </c>
      <c r="D4">
        <f>IF(Eelarve!B11="","",Eelarve!B11)</f>
        <v/>
      </c>
    </row>
    <row r="5">
      <c r="A5" t="inlineStr">
        <is>
          <t>aprill</t>
        </is>
      </c>
      <c r="D5">
        <f>IF(Eelarve!B12="","",Eelarve!B12)</f>
        <v/>
      </c>
    </row>
    <row r="6">
      <c r="A6" t="inlineStr">
        <is>
          <t>mai</t>
        </is>
      </c>
      <c r="D6">
        <f>IF(Eelarve!B13="","",Eelarve!B13)</f>
        <v/>
      </c>
    </row>
    <row r="7">
      <c r="A7" t="inlineStr">
        <is>
          <t>juuni</t>
        </is>
      </c>
      <c r="D7">
        <f>IF(Eelarve!B14="","",Eelarve!B14)</f>
        <v/>
      </c>
    </row>
    <row r="8">
      <c r="A8" t="inlineStr">
        <is>
          <t>juuli</t>
        </is>
      </c>
      <c r="D8">
        <f>IF(Eelarve!B15="","",Eelarve!B15)</f>
        <v/>
      </c>
    </row>
    <row r="9">
      <c r="A9" t="inlineStr">
        <is>
          <t>august</t>
        </is>
      </c>
      <c r="D9">
        <f>IF(Eelarve!B16="","",Eelarve!B16)</f>
        <v/>
      </c>
    </row>
    <row r="10">
      <c r="A10" t="inlineStr">
        <is>
          <t>september</t>
        </is>
      </c>
      <c r="D10">
        <f>IF(Eelarve!B17="","",Eelarve!B17)</f>
        <v/>
      </c>
    </row>
    <row r="11">
      <c r="A11" t="inlineStr">
        <is>
          <t>oktoober</t>
        </is>
      </c>
      <c r="D11">
        <f>IF(Eelarve!B18="","",Eelarve!B18)</f>
        <v/>
      </c>
    </row>
    <row r="12">
      <c r="A12" t="inlineStr">
        <is>
          <t>november</t>
        </is>
      </c>
      <c r="D12">
        <f>IF(Eelarve!B19="","",Eelarve!B19)</f>
        <v/>
      </c>
    </row>
    <row r="13">
      <c r="A13" t="inlineStr">
        <is>
          <t>detsember</t>
        </is>
      </c>
      <c r="D13">
        <f>IF(Eelarve!B20="","",Eelarve!B20)</f>
        <v/>
      </c>
    </row>
    <row r="14">
      <c r="D14">
        <f>IF(Eelarve!B21="","",Eelarve!B21)</f>
        <v/>
      </c>
    </row>
    <row r="15">
      <c r="D15">
        <f>IF(Eelarve!B22="","",Eelarve!B22)</f>
        <v/>
      </c>
    </row>
    <row r="16">
      <c r="D16">
        <f>IF(Eelarve!B23="","",Eelarve!B23)</f>
        <v/>
      </c>
    </row>
    <row r="17">
      <c r="D17">
        <f>IF(Eelarve!B24="","",Eelarve!B24)</f>
        <v/>
      </c>
    </row>
    <row r="18">
      <c r="D18">
        <f>IF(Eelarve!B25="","",Eelarve!B25)</f>
        <v/>
      </c>
    </row>
    <row r="19">
      <c r="D19">
        <f>IF(Eelarve!B26="","",Eelarve!B26)</f>
        <v/>
      </c>
    </row>
    <row r="20">
      <c r="D20">
        <f>IF(Eelarve!B31="","",Eelarve!B31)</f>
        <v/>
      </c>
    </row>
    <row r="21">
      <c r="D21">
        <f>IF(Eelarve!B32="","",Eelarve!B32)</f>
        <v/>
      </c>
    </row>
    <row r="22">
      <c r="D22">
        <f>IF(Eelarve!B33="","",Eelarve!B33)</f>
        <v/>
      </c>
    </row>
    <row r="23">
      <c r="D23">
        <f>IF(Eelarve!B34="","",Eelarve!B34)</f>
        <v/>
      </c>
    </row>
    <row r="24">
      <c r="D24">
        <f>IF(Eelarve!B35="","",Eelarve!B35)</f>
        <v/>
      </c>
    </row>
    <row r="25">
      <c r="D25">
        <f>IF(Eelarve!B36="","",Eelarve!B36)</f>
        <v/>
      </c>
    </row>
    <row r="26">
      <c r="D26">
        <f>IF(Eelarve!B37="","",Eelarve!B37)</f>
        <v/>
      </c>
    </row>
    <row r="27">
      <c r="D27">
        <f>IF(Eelarve!B38="","",Eelarve!B38)</f>
        <v/>
      </c>
    </row>
    <row r="28">
      <c r="D28">
        <f>IF(Eelarve!B39="","",Eelarve!B39)</f>
        <v/>
      </c>
    </row>
    <row r="29">
      <c r="D29">
        <f>IF(Eelarve!B40="","",Eelarve!B40)</f>
        <v/>
      </c>
    </row>
    <row r="30">
      <c r="D30">
        <f>IF(Eelarve!B41="","",Eelarve!B41)</f>
        <v/>
      </c>
    </row>
    <row r="31">
      <c r="D31">
        <f>IF(Eelarve!B42="","",Eelarve!B42)</f>
        <v/>
      </c>
    </row>
    <row r="32">
      <c r="D32">
        <f>IF(Eelarve!B43="","",Eelarve!B43)</f>
        <v/>
      </c>
    </row>
    <row r="33">
      <c r="D33">
        <f>IF(Eelarve!B44="","",Eelarve!B44)</f>
        <v/>
      </c>
    </row>
    <row r="34">
      <c r="D34">
        <f>IF(Eelarve!B45="","",Eelarve!B45)</f>
        <v/>
      </c>
    </row>
    <row r="35">
      <c r="D35">
        <f>IF(Eelarve!B46="","",Eelarve!B46)</f>
        <v/>
      </c>
    </row>
    <row r="36">
      <c r="D36">
        <f>IF(Eelarve!B47="","",Eelarve!B47)</f>
        <v/>
      </c>
    </row>
    <row r="37">
      <c r="D37">
        <f>IF(Eelarve!B48="","",Eelarve!B48)</f>
        <v/>
      </c>
    </row>
    <row r="38">
      <c r="D38">
        <f>IF(Eelarve!B49="","",Eelarve!B49)</f>
        <v/>
      </c>
    </row>
    <row r="39">
      <c r="D39">
        <f>IF(Eelarve!B50="","",Eelarve!B50)</f>
        <v/>
      </c>
    </row>
    <row r="40">
      <c r="D40">
        <f>IF(Eelarve!B51="","",Eelarve!B51)</f>
        <v/>
      </c>
    </row>
    <row r="41">
      <c r="D41">
        <f>IF(Eelarve!B52="","",Eelarve!B52)</f>
        <v/>
      </c>
    </row>
    <row r="42">
      <c r="D42">
        <f>IF(Eelarve!B53="","",Eelarve!B53)</f>
        <v/>
      </c>
    </row>
    <row r="43">
      <c r="D43">
        <f>IF(Eelarve!B54="","",Eelarve!B54)</f>
        <v/>
      </c>
    </row>
    <row r="44">
      <c r="D44">
        <f>IF(Eelarve!B55="","",Eelarve!B55)</f>
        <v/>
      </c>
    </row>
    <row r="45">
      <c r="D45">
        <f>IF(Eelarve!B56="","",Eelarve!B56)</f>
        <v/>
      </c>
    </row>
    <row r="46">
      <c r="D46">
        <f>IF(Eelarve!B57="","",Eelarve!B57)</f>
        <v/>
      </c>
    </row>
    <row r="47">
      <c r="D47">
        <f>IF(Eelarve!B58="","",Eelarve!B58)</f>
        <v/>
      </c>
    </row>
    <row r="48">
      <c r="D48">
        <f>IF(Eelarve!B59="","",Eelarve!B59)</f>
        <v/>
      </c>
    </row>
    <row r="49">
      <c r="D49">
        <f>IF(Eelarve!B60="","",Eelarve!B60)</f>
        <v/>
      </c>
    </row>
    <row r="50">
      <c r="D50">
        <f>IF(Eelarve!B61="","",Eelarve!B61)</f>
        <v/>
      </c>
    </row>
    <row r="51">
      <c r="D51">
        <f>IF(Eelarve!B62="","",Eelarve!B62)</f>
        <v/>
      </c>
    </row>
    <row r="52">
      <c r="D52">
        <f>IF(Eelarve!B67="","",Eelarve!B67)</f>
        <v/>
      </c>
    </row>
    <row r="53">
      <c r="D53">
        <f>IF(Eelarve!B68="","",Eelarve!B68)</f>
        <v/>
      </c>
    </row>
    <row r="54">
      <c r="D54">
        <f>IF(Eelarve!B69="","",Eelarve!B69)</f>
        <v/>
      </c>
    </row>
    <row r="55">
      <c r="D55">
        <f>IF(Eelarve!B70="","",Eelarve!B70)</f>
        <v/>
      </c>
    </row>
    <row r="56">
      <c r="D56">
        <f>IF(Eelarve!B71="","",Eelarve!B71)</f>
        <v/>
      </c>
    </row>
    <row r="57">
      <c r="D57">
        <f>IF(Eelarve!B72="","",Eelarve!B72)</f>
        <v/>
      </c>
    </row>
    <row r="58">
      <c r="D58">
        <f>IF(Eelarve!B73="","",Eelarve!B73)</f>
        <v/>
      </c>
    </row>
    <row r="59">
      <c r="D59">
        <f>IF(Eelarve!B74="","",Eelarve!B74)</f>
        <v/>
      </c>
    </row>
    <row r="60">
      <c r="D60">
        <f>IF(Eelarve!B75="","",Eelarve!B75)</f>
        <v/>
      </c>
    </row>
    <row r="61">
      <c r="D61">
        <f>IF(Eelarve!B76="","",Eelarve!B76)</f>
        <v/>
      </c>
    </row>
    <row r="62">
      <c r="D62">
        <f>IF(Eelarve!B77="","",Eelarve!B77)</f>
        <v/>
      </c>
    </row>
    <row r="63">
      <c r="D63">
        <f>IF(Eelarve!B78="","",Eelarve!B78)</f>
        <v/>
      </c>
    </row>
    <row r="64">
      <c r="D64">
        <f>IF(Eelarve!B79="","",Eelarve!B79)</f>
        <v/>
      </c>
    </row>
    <row r="65">
      <c r="D65">
        <f>IF(Eelarve!B80="","",Eelarve!B80)</f>
        <v/>
      </c>
    </row>
    <row r="66">
      <c r="D66">
        <f>IF(Eelarve!B81="","",Eelarve!B81)</f>
        <v/>
      </c>
    </row>
  </sheetData>
  <printOptions horizontalCentered="1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Perekonna Eelarve (pere-eelarve.eu)</dc:creator>
  <dc:title xmlns:dc="http://purl.org/dc/elements/1.1/">Kulude ja tulude tabel – Perekonna Eelarve</dc:title>
  <dcterms:created xmlns:dcterms="http://purl.org/dc/terms/" xmlns:xsi="http://www.w3.org/2001/XMLSchema-instance" xsi:type="dcterms:W3CDTF">2026-10-14T19:30:48Z</dcterms:created>
  <dcterms:modified xmlns:dcterms="http://purl.org/dc/terms/" xmlns:xsi="http://www.w3.org/2001/XMLSchema-instance" xsi:type="dcterms:W3CDTF">2026-10-14T19:30:48Z</dcterms:modified>
</cp:coreProperties>
</file>